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E:\Data\Coffee\Hottop\Artisan RoasterScope\Artisan\profiles\2023\decaf tests\"/>
    </mc:Choice>
  </mc:AlternateContent>
  <xr:revisionPtr revIDLastSave="0" documentId="13_ncr:1_{B68FEA80-7939-4093-B4F4-98C4AF689A2B}" xr6:coauthVersionLast="47" xr6:coauthVersionMax="47" xr10:uidLastSave="{00000000-0000-0000-0000-000000000000}"/>
  <bookViews>
    <workbookView xWindow="7680" yWindow="2310" windowWidth="23410" windowHeight="14750" activeTab="1" xr2:uid="{ECA4E2EA-AB91-4364-AFAE-A7F369CE3FEE}"/>
  </bookViews>
  <sheets>
    <sheet name="Lookup Tables" sheetId="3" r:id="rId1"/>
    <sheet name="Roast Logs" sheetId="2" r:id="rId2"/>
    <sheet name="Inventory" sheetId="1" r:id="rId3"/>
  </sheets>
  <externalReferences>
    <externalReference r:id="rId4"/>
  </externalReferences>
  <definedNames>
    <definedName name="_xlnm._FilterDatabase" localSheetId="2" hidden="1">Inventory!$A$2:$K$36</definedName>
    <definedName name="_xlnm.Print_Area" localSheetId="1">'Roast Logs'!$A$18:$M$4908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01" i="2" l="1"/>
  <c r="G4901" i="2" s="1"/>
  <c r="H4901" i="2" s="1"/>
  <c r="I4901" i="2" s="1"/>
  <c r="J4901" i="2" s="1"/>
  <c r="K4901" i="2" s="1"/>
  <c r="F4886" i="2"/>
  <c r="G4886" i="2" s="1"/>
  <c r="H4886" i="2" s="1"/>
  <c r="I4886" i="2" s="1"/>
  <c r="J4886" i="2" s="1"/>
  <c r="F4871" i="2"/>
  <c r="G4871" i="2" s="1"/>
  <c r="H4871" i="2" s="1"/>
  <c r="I4871" i="2" s="1"/>
  <c r="J4871" i="2" s="1"/>
  <c r="K4871" i="2" s="1"/>
  <c r="F4856" i="2"/>
  <c r="G4856" i="2" s="1"/>
  <c r="H4856" i="2" s="1"/>
  <c r="I4856" i="2" s="1"/>
  <c r="J4856" i="2" s="1"/>
  <c r="F4841" i="2"/>
  <c r="G4841" i="2" s="1"/>
  <c r="H4841" i="2" s="1"/>
  <c r="I4841" i="2" s="1"/>
  <c r="F4826" i="2"/>
  <c r="G4826" i="2" s="1"/>
  <c r="H4826" i="2" s="1"/>
  <c r="I4826" i="2" s="1"/>
  <c r="F4811" i="2"/>
  <c r="G4811" i="2" s="1"/>
  <c r="H4811" i="2" s="1"/>
  <c r="I4811" i="2" s="1"/>
  <c r="F4796" i="2"/>
  <c r="G4796" i="2" s="1"/>
  <c r="H4796" i="2" s="1"/>
  <c r="I4796" i="2" s="1"/>
  <c r="J4796" i="2" s="1"/>
  <c r="F4781" i="2"/>
  <c r="G4781" i="2" s="1"/>
  <c r="H4781" i="2" s="1"/>
  <c r="I4781" i="2" s="1"/>
  <c r="J4781" i="2" s="1"/>
  <c r="F4766" i="2"/>
  <c r="G4766" i="2" s="1"/>
  <c r="H4766" i="2" s="1"/>
  <c r="I4766" i="2" s="1"/>
  <c r="J4766" i="2" s="1"/>
  <c r="K4766" i="2" s="1"/>
  <c r="L4766" i="2" s="1"/>
  <c r="F4751" i="2"/>
  <c r="G4751" i="2" s="1"/>
  <c r="H4751" i="2" s="1"/>
  <c r="I4751" i="2" s="1"/>
  <c r="J4751" i="2" s="1"/>
  <c r="K4751" i="2" s="1"/>
  <c r="F4736" i="2"/>
  <c r="G4736" i="2" s="1"/>
  <c r="H4736" i="2" s="1"/>
  <c r="I4736" i="2" s="1"/>
  <c r="J4736" i="2" s="1"/>
  <c r="F4721" i="2"/>
  <c r="G4721" i="2" s="1"/>
  <c r="H4721" i="2" s="1"/>
  <c r="I4721" i="2" s="1"/>
  <c r="J4721" i="2" s="1"/>
  <c r="F4706" i="2"/>
  <c r="G4706" i="2" s="1"/>
  <c r="H4706" i="2" s="1"/>
  <c r="I4706" i="2" s="1"/>
  <c r="J4706" i="2" s="1"/>
  <c r="K4706" i="2" s="1"/>
  <c r="L4706" i="2" s="1"/>
  <c r="F4691" i="2"/>
  <c r="G4691" i="2" s="1"/>
  <c r="H4691" i="2" s="1"/>
  <c r="I4691" i="2" s="1"/>
  <c r="J4691" i="2" s="1"/>
  <c r="K4691" i="2" s="1"/>
  <c r="G4676" i="2"/>
  <c r="H4676" i="2" s="1"/>
  <c r="I4676" i="2" s="1"/>
  <c r="J4676" i="2" s="1"/>
  <c r="K4676" i="2" s="1"/>
  <c r="L4676" i="2" s="1"/>
  <c r="F4676" i="2"/>
  <c r="G4661" i="2"/>
  <c r="H4661" i="2" s="1"/>
  <c r="I4661" i="2" s="1"/>
  <c r="J4661" i="2" s="1"/>
  <c r="K4661" i="2" s="1"/>
  <c r="F4661" i="2"/>
  <c r="F4646" i="2"/>
  <c r="G4646" i="2" s="1"/>
  <c r="H4646" i="2" s="1"/>
  <c r="I4646" i="2" s="1"/>
  <c r="J4646" i="2" s="1"/>
  <c r="K4646" i="2" s="1"/>
  <c r="F4631" i="2"/>
  <c r="G4631" i="2" s="1"/>
  <c r="H4631" i="2" s="1"/>
  <c r="I4631" i="2" s="1"/>
  <c r="F4616" i="2"/>
  <c r="G4616" i="2" s="1"/>
  <c r="H4616" i="2" s="1"/>
  <c r="I4616" i="2" s="1"/>
  <c r="F4601" i="2"/>
  <c r="G4601" i="2" s="1"/>
  <c r="H4601" i="2" s="1"/>
  <c r="I4601" i="2" s="1"/>
  <c r="J4601" i="2" s="1"/>
  <c r="H4586" i="2"/>
  <c r="I4586" i="2" s="1"/>
  <c r="J4586" i="2" s="1"/>
  <c r="G4586" i="2"/>
  <c r="F4586" i="2"/>
  <c r="F4571" i="2"/>
  <c r="G4571" i="2" s="1"/>
  <c r="H4571" i="2" s="1"/>
  <c r="I4571" i="2" s="1"/>
  <c r="F4556" i="2"/>
  <c r="G4556" i="2" s="1"/>
  <c r="H4556" i="2" s="1"/>
  <c r="I4556" i="2" s="1"/>
  <c r="F4541" i="2"/>
  <c r="G4541" i="2" s="1"/>
  <c r="H4541" i="2" s="1"/>
  <c r="I4541" i="2" s="1"/>
  <c r="G4526" i="2"/>
  <c r="H4526" i="2" s="1"/>
  <c r="I4526" i="2" s="1"/>
  <c r="J4526" i="2" s="1"/>
  <c r="K4526" i="2" s="1"/>
  <c r="F4526" i="2"/>
  <c r="G4511" i="2"/>
  <c r="H4511" i="2" s="1"/>
  <c r="I4511" i="2" s="1"/>
  <c r="J4511" i="2" s="1"/>
  <c r="K4511" i="2" s="1"/>
  <c r="F4511" i="2"/>
  <c r="F4496" i="2"/>
  <c r="G4496" i="2" s="1"/>
  <c r="H4496" i="2" s="1"/>
  <c r="I4496" i="2" s="1"/>
  <c r="J4496" i="2" s="1"/>
  <c r="K4496" i="2" s="1"/>
  <c r="F4481" i="2"/>
  <c r="G4481" i="2" s="1"/>
  <c r="H4481" i="2" s="1"/>
  <c r="I4481" i="2" s="1"/>
  <c r="J4481" i="2" s="1"/>
  <c r="K4481" i="2" s="1"/>
  <c r="G4466" i="2"/>
  <c r="H4466" i="2" s="1"/>
  <c r="I4466" i="2" s="1"/>
  <c r="J4466" i="2" s="1"/>
  <c r="K4466" i="2" s="1"/>
  <c r="F4466" i="2"/>
  <c r="F4451" i="2"/>
  <c r="G4451" i="2" s="1"/>
  <c r="H4451" i="2" s="1"/>
  <c r="I4451" i="2" s="1"/>
  <c r="F4436" i="2"/>
  <c r="G4436" i="2" s="1"/>
  <c r="H4436" i="2" s="1"/>
  <c r="I4436" i="2" s="1"/>
  <c r="F4421" i="2"/>
  <c r="G4421" i="2" s="1"/>
  <c r="H4421" i="2" s="1"/>
  <c r="I4421" i="2" s="1"/>
  <c r="J4421" i="2" s="1"/>
  <c r="F4406" i="2"/>
  <c r="G4406" i="2" s="1"/>
  <c r="H4406" i="2" s="1"/>
  <c r="I4406" i="2" s="1"/>
  <c r="F4391" i="2"/>
  <c r="G4391" i="2" s="1"/>
  <c r="H4391" i="2" s="1"/>
  <c r="I4391" i="2" s="1"/>
  <c r="F4376" i="2"/>
  <c r="G4376" i="2" s="1"/>
  <c r="H4376" i="2" s="1"/>
  <c r="I4376" i="2" s="1"/>
  <c r="F4361" i="2"/>
  <c r="G4361" i="2" s="1"/>
  <c r="H4361" i="2" s="1"/>
  <c r="I4361" i="2" s="1"/>
  <c r="F4346" i="2"/>
  <c r="G4346" i="2" s="1"/>
  <c r="H4346" i="2" s="1"/>
  <c r="I4346" i="2" s="1"/>
  <c r="J4346" i="2" s="1"/>
  <c r="F4331" i="2"/>
  <c r="G4331" i="2" s="1"/>
  <c r="H4331" i="2" s="1"/>
  <c r="F4316" i="2"/>
  <c r="G4316" i="2" s="1"/>
  <c r="H4316" i="2" s="1"/>
  <c r="F4301" i="2"/>
  <c r="G4301" i="2" s="1"/>
  <c r="H4301" i="2" s="1"/>
  <c r="I4301" i="2" s="1"/>
  <c r="J4301" i="2" s="1"/>
  <c r="F4286" i="2"/>
  <c r="G4286" i="2" s="1"/>
  <c r="H4286" i="2" s="1"/>
  <c r="I4286" i="2" s="1"/>
  <c r="J4286" i="2" s="1"/>
  <c r="K4286" i="2" s="1"/>
  <c r="F4271" i="2"/>
  <c r="G4271" i="2" s="1"/>
  <c r="H4271" i="2" s="1"/>
  <c r="I4271" i="2" s="1"/>
  <c r="J4271" i="2" s="1"/>
  <c r="K4271" i="2" s="1"/>
  <c r="F4256" i="2"/>
  <c r="G4256" i="2" s="1"/>
  <c r="H4256" i="2" s="1"/>
  <c r="I4256" i="2" s="1"/>
  <c r="J4256" i="2" s="1"/>
  <c r="K4256" i="2" s="1"/>
  <c r="F4241" i="2"/>
  <c r="G4241" i="2" s="1"/>
  <c r="H4241" i="2" s="1"/>
  <c r="I4241" i="2" s="1"/>
  <c r="J4241" i="2" s="1"/>
  <c r="K4241" i="2" s="1"/>
  <c r="F4226" i="2"/>
  <c r="G4226" i="2" s="1"/>
  <c r="H4226" i="2" s="1"/>
  <c r="I4226" i="2" s="1"/>
  <c r="F4211" i="2"/>
  <c r="G4211" i="2" s="1"/>
  <c r="H4211" i="2" s="1"/>
  <c r="I4211" i="2" s="1"/>
  <c r="F4196" i="2"/>
  <c r="G4196" i="2" s="1"/>
  <c r="H4196" i="2" s="1"/>
  <c r="I4196" i="2" s="1"/>
  <c r="F4181" i="2"/>
  <c r="G4181" i="2" s="1"/>
  <c r="H4181" i="2" s="1"/>
  <c r="I4181" i="2" s="1"/>
  <c r="J4181" i="2" s="1"/>
  <c r="K4181" i="2" s="1"/>
  <c r="F4166" i="2"/>
  <c r="G4166" i="2" s="1"/>
  <c r="H4166" i="2" s="1"/>
  <c r="I4166" i="2" s="1"/>
  <c r="J4166" i="2" s="1"/>
  <c r="K4166" i="2" s="1"/>
  <c r="L4166" i="2" s="1"/>
  <c r="F4151" i="2"/>
  <c r="G4151" i="2" s="1"/>
  <c r="H4151" i="2" s="1"/>
  <c r="I4151" i="2" s="1"/>
  <c r="G4136" i="2"/>
  <c r="H4136" i="2" s="1"/>
  <c r="I4136" i="2" s="1"/>
  <c r="F4136" i="2"/>
  <c r="G4121" i="2"/>
  <c r="H4121" i="2" s="1"/>
  <c r="I4121" i="2" s="1"/>
  <c r="F4121" i="2"/>
  <c r="G4106" i="2"/>
  <c r="H4106" i="2" s="1"/>
  <c r="I4106" i="2" s="1"/>
  <c r="F4106" i="2"/>
  <c r="F4091" i="2"/>
  <c r="G4091" i="2" s="1"/>
  <c r="H4091" i="2" s="1"/>
  <c r="I4091" i="2" s="1"/>
  <c r="F4076" i="2"/>
  <c r="G4076" i="2" s="1"/>
  <c r="H4076" i="2" s="1"/>
  <c r="I4076" i="2" s="1"/>
  <c r="G4061" i="2"/>
  <c r="H4061" i="2" s="1"/>
  <c r="I4061" i="2" s="1"/>
  <c r="F4061" i="2"/>
  <c r="F4046" i="2"/>
  <c r="G4046" i="2" s="1"/>
  <c r="H4046" i="2" s="1"/>
  <c r="I4046" i="2" s="1"/>
  <c r="J4046" i="2" s="1"/>
  <c r="K4046" i="2" s="1"/>
  <c r="F4031" i="2"/>
  <c r="G4031" i="2" s="1"/>
  <c r="H4031" i="2" s="1"/>
  <c r="I4031" i="2" s="1"/>
  <c r="J4031" i="2" s="1"/>
  <c r="K4031" i="2" s="1"/>
  <c r="F4016" i="2"/>
  <c r="G4016" i="2" s="1"/>
  <c r="H4016" i="2" s="1"/>
  <c r="I4016" i="2" s="1"/>
  <c r="J4016" i="2" s="1"/>
  <c r="K4016" i="2" s="1"/>
  <c r="F4001" i="2"/>
  <c r="G4001" i="2" s="1"/>
  <c r="H4001" i="2" s="1"/>
  <c r="I4001" i="2" s="1"/>
  <c r="J4001" i="2" s="1"/>
  <c r="K4001" i="2" s="1"/>
  <c r="F3986" i="2"/>
  <c r="G3986" i="2" s="1"/>
  <c r="H3986" i="2" s="1"/>
  <c r="I3986" i="2" s="1"/>
  <c r="J3986" i="2" s="1"/>
  <c r="K3986" i="2" s="1"/>
  <c r="G3971" i="2"/>
  <c r="H3971" i="2" s="1"/>
  <c r="I3971" i="2" s="1"/>
  <c r="J3971" i="2" s="1"/>
  <c r="F3971" i="2"/>
  <c r="F3956" i="2"/>
  <c r="G3956" i="2" s="1"/>
  <c r="H3956" i="2" s="1"/>
  <c r="I3956" i="2" s="1"/>
  <c r="J3956" i="2" s="1"/>
  <c r="K3956" i="2" s="1"/>
  <c r="F3941" i="2"/>
  <c r="G3941" i="2" s="1"/>
  <c r="H3941" i="2" s="1"/>
  <c r="I3941" i="2" s="1"/>
  <c r="J3941" i="2" s="1"/>
  <c r="G3926" i="2"/>
  <c r="H3926" i="2" s="1"/>
  <c r="I3926" i="2" s="1"/>
  <c r="J3926" i="2" s="1"/>
  <c r="F3926" i="2"/>
  <c r="F3911" i="2"/>
  <c r="G3911" i="2" s="1"/>
  <c r="H3911" i="2" s="1"/>
  <c r="F3896" i="2"/>
  <c r="G3896" i="2" s="1"/>
  <c r="H3896" i="2" s="1"/>
  <c r="F3881" i="2"/>
  <c r="G3881" i="2" s="1"/>
  <c r="H3881" i="2" s="1"/>
  <c r="I3881" i="2" s="1"/>
  <c r="J3881" i="2" s="1"/>
  <c r="F3866" i="2"/>
  <c r="G3866" i="2" s="1"/>
  <c r="H3866" i="2" s="1"/>
  <c r="I3866" i="2" s="1"/>
  <c r="J3866" i="2" s="1"/>
  <c r="F3851" i="2"/>
  <c r="G3851" i="2" s="1"/>
  <c r="H3851" i="2" s="1"/>
  <c r="I3851" i="2" s="1"/>
  <c r="J3851" i="2" s="1"/>
  <c r="K3851" i="2" s="1"/>
  <c r="G3836" i="2"/>
  <c r="H3836" i="2" s="1"/>
  <c r="I3836" i="2" s="1"/>
  <c r="J3836" i="2" s="1"/>
  <c r="K3836" i="2" s="1"/>
  <c r="L3836" i="2" s="1"/>
  <c r="F3836" i="2"/>
  <c r="F3821" i="2"/>
  <c r="G3821" i="2" s="1"/>
  <c r="H3821" i="2" s="1"/>
  <c r="I3821" i="2" s="1"/>
  <c r="J3821" i="2" s="1"/>
  <c r="K3821" i="2" s="1"/>
  <c r="L3821" i="2" s="1"/>
  <c r="F3806" i="2"/>
  <c r="G3806" i="2" s="1"/>
  <c r="H3806" i="2" s="1"/>
  <c r="I3806" i="2" s="1"/>
  <c r="F3791" i="2"/>
  <c r="G3791" i="2" s="1"/>
  <c r="H3791" i="2" s="1"/>
  <c r="I3791" i="2" s="1"/>
  <c r="F3776" i="2"/>
  <c r="G3776" i="2" s="1"/>
  <c r="H3776" i="2" s="1"/>
  <c r="I3776" i="2" s="1"/>
  <c r="J3776" i="2" s="1"/>
  <c r="K3776" i="2" s="1"/>
  <c r="G3761" i="2"/>
  <c r="H3761" i="2" s="1"/>
  <c r="I3761" i="2" s="1"/>
  <c r="J3761" i="2" s="1"/>
  <c r="K3761" i="2" s="1"/>
  <c r="F3761" i="2"/>
  <c r="F3746" i="2"/>
  <c r="G3746" i="2" s="1"/>
  <c r="H3746" i="2" s="1"/>
  <c r="I3746" i="2" s="1"/>
  <c r="J3746" i="2" s="1"/>
  <c r="K3746" i="2" s="1"/>
  <c r="F3731" i="2"/>
  <c r="G3731" i="2" s="1"/>
  <c r="H3731" i="2" s="1"/>
  <c r="I3731" i="2" s="1"/>
  <c r="F3716" i="2"/>
  <c r="G3716" i="2" s="1"/>
  <c r="H3716" i="2" s="1"/>
  <c r="I3716" i="2" s="1"/>
  <c r="I3701" i="2"/>
  <c r="F3701" i="2"/>
  <c r="G3701" i="2" s="1"/>
  <c r="H3701" i="2" s="1"/>
  <c r="F3686" i="2"/>
  <c r="G3686" i="2" s="1"/>
  <c r="H3686" i="2" s="1"/>
  <c r="I3686" i="2" s="1"/>
  <c r="J3686" i="2" s="1"/>
  <c r="K3686" i="2" s="1"/>
  <c r="F3671" i="2"/>
  <c r="G3671" i="2" s="1"/>
  <c r="H3671" i="2" s="1"/>
  <c r="I3671" i="2" s="1"/>
  <c r="J3671" i="2" s="1"/>
  <c r="K3671" i="2" s="1"/>
  <c r="F3656" i="2"/>
  <c r="G3656" i="2" s="1"/>
  <c r="H3656" i="2" s="1"/>
  <c r="F3641" i="2"/>
  <c r="G3641" i="2" s="1"/>
  <c r="H3641" i="2" s="1"/>
  <c r="I3641" i="2" s="1"/>
  <c r="F3626" i="2"/>
  <c r="G3626" i="2" s="1"/>
  <c r="H3626" i="2" s="1"/>
  <c r="I3626" i="2" s="1"/>
  <c r="F3611" i="2"/>
  <c r="G3611" i="2" s="1"/>
  <c r="H3611" i="2" s="1"/>
  <c r="I3611" i="2" s="1"/>
  <c r="F3596" i="2"/>
  <c r="G3596" i="2" s="1"/>
  <c r="H3596" i="2" s="1"/>
  <c r="I3596" i="2" s="1"/>
  <c r="F3581" i="2"/>
  <c r="G3581" i="2" s="1"/>
  <c r="H3581" i="2" s="1"/>
  <c r="I3581" i="2" s="1"/>
  <c r="J3581" i="2" s="1"/>
  <c r="F3566" i="2"/>
  <c r="G3566" i="2" s="1"/>
  <c r="H3566" i="2" s="1"/>
  <c r="F3551" i="2"/>
  <c r="G3551" i="2" s="1"/>
  <c r="H3551" i="2" s="1"/>
  <c r="I3551" i="2" s="1"/>
  <c r="J3551" i="2" s="1"/>
  <c r="F3536" i="2"/>
  <c r="G3536" i="2" s="1"/>
  <c r="H3536" i="2" s="1"/>
  <c r="I3536" i="2" s="1"/>
  <c r="J3536" i="2" s="1"/>
  <c r="K3536" i="2" s="1"/>
  <c r="F3521" i="2"/>
  <c r="G3521" i="2" s="1"/>
  <c r="H3521" i="2" s="1"/>
  <c r="I3521" i="2" s="1"/>
  <c r="J3521" i="2" s="1"/>
  <c r="F3506" i="2"/>
  <c r="G3506" i="2" s="1"/>
  <c r="H3506" i="2" s="1"/>
  <c r="I3506" i="2" s="1"/>
  <c r="F3491" i="2"/>
  <c r="G3491" i="2" s="1"/>
  <c r="H3491" i="2" s="1"/>
  <c r="I3491" i="2" s="1"/>
  <c r="F3476" i="2"/>
  <c r="G3476" i="2" s="1"/>
  <c r="H3476" i="2" s="1"/>
  <c r="I3476" i="2" s="1"/>
  <c r="J3476" i="2" s="1"/>
  <c r="F3461" i="2"/>
  <c r="G3461" i="2" s="1"/>
  <c r="H3461" i="2" s="1"/>
  <c r="I3461" i="2" s="1"/>
  <c r="J3461" i="2" s="1"/>
  <c r="F3446" i="2"/>
  <c r="G3446" i="2" s="1"/>
  <c r="H3446" i="2" s="1"/>
  <c r="I3446" i="2" s="1"/>
  <c r="J3446" i="2" s="1"/>
  <c r="K3446" i="2" s="1"/>
  <c r="F3431" i="2"/>
  <c r="G3431" i="2" s="1"/>
  <c r="H3431" i="2" s="1"/>
  <c r="I3431" i="2" s="1"/>
  <c r="J3431" i="2" s="1"/>
  <c r="F3416" i="2"/>
  <c r="G3416" i="2" s="1"/>
  <c r="H3416" i="2" s="1"/>
  <c r="I3416" i="2" s="1"/>
  <c r="F3401" i="2"/>
  <c r="G3401" i="2" s="1"/>
  <c r="H3401" i="2" s="1"/>
  <c r="I3401" i="2" s="1"/>
  <c r="F3386" i="2"/>
  <c r="G3386" i="2" s="1"/>
  <c r="H3386" i="2" s="1"/>
  <c r="I3386" i="2" s="1"/>
  <c r="F3371" i="2"/>
  <c r="G3371" i="2" s="1"/>
  <c r="H3371" i="2" s="1"/>
  <c r="I3371" i="2" s="1"/>
  <c r="F3356" i="2"/>
  <c r="G3356" i="2" s="1"/>
  <c r="H3356" i="2" s="1"/>
  <c r="I3356" i="2" s="1"/>
  <c r="F3341" i="2"/>
  <c r="G3341" i="2" s="1"/>
  <c r="H3341" i="2" s="1"/>
  <c r="I3341" i="2" s="1"/>
  <c r="F3326" i="2"/>
  <c r="G3326" i="2" s="1"/>
  <c r="H3326" i="2" s="1"/>
  <c r="I3326" i="2" s="1"/>
  <c r="F3311" i="2"/>
  <c r="G3311" i="2" s="1"/>
  <c r="H3311" i="2" s="1"/>
  <c r="I3311" i="2" s="1"/>
  <c r="J3311" i="2" s="1"/>
  <c r="F3296" i="2"/>
  <c r="G3296" i="2" s="1"/>
  <c r="H3296" i="2" s="1"/>
  <c r="I3296" i="2" s="1"/>
  <c r="J3296" i="2" s="1"/>
  <c r="F3281" i="2"/>
  <c r="G3281" i="2" s="1"/>
  <c r="H3281" i="2" s="1"/>
  <c r="I3281" i="2" s="1"/>
  <c r="J3281" i="2" s="1"/>
  <c r="F3266" i="2"/>
  <c r="G3266" i="2" s="1"/>
  <c r="H3266" i="2" s="1"/>
  <c r="F3251" i="2"/>
  <c r="G3251" i="2" s="1"/>
  <c r="H3251" i="2" s="1"/>
  <c r="F3236" i="2"/>
  <c r="G3236" i="2" s="1"/>
  <c r="H3236" i="2" s="1"/>
  <c r="I3236" i="2" s="1"/>
  <c r="F3221" i="2"/>
  <c r="G3221" i="2" s="1"/>
  <c r="H3221" i="2" s="1"/>
  <c r="I3221" i="2" s="1"/>
  <c r="F3206" i="2"/>
  <c r="G3206" i="2" s="1"/>
  <c r="H3206" i="2" s="1"/>
  <c r="I3206" i="2" s="1"/>
  <c r="J3206" i="2" s="1"/>
  <c r="F3191" i="2"/>
  <c r="G3191" i="2" s="1"/>
  <c r="H3191" i="2" s="1"/>
  <c r="I3191" i="2" s="1"/>
  <c r="F3176" i="2"/>
  <c r="G3176" i="2" s="1"/>
  <c r="H3176" i="2" s="1"/>
  <c r="I3176" i="2" s="1"/>
  <c r="F3161" i="2"/>
  <c r="G3161" i="2" s="1"/>
  <c r="H3161" i="2" s="1"/>
  <c r="I3161" i="2" s="1"/>
  <c r="J3161" i="2" s="1"/>
  <c r="F3146" i="2"/>
  <c r="G3146" i="2" s="1"/>
  <c r="H3146" i="2" s="1"/>
  <c r="I3146" i="2" s="1"/>
  <c r="J3146" i="2" s="1"/>
  <c r="K3146" i="2" s="1"/>
  <c r="F3131" i="2"/>
  <c r="G3131" i="2" s="1"/>
  <c r="H3131" i="2" s="1"/>
  <c r="I3131" i="2" s="1"/>
  <c r="J3131" i="2" s="1"/>
  <c r="K3131" i="2" s="1"/>
  <c r="F3116" i="2"/>
  <c r="G3116" i="2" s="1"/>
  <c r="H3116" i="2" s="1"/>
  <c r="I3116" i="2" s="1"/>
  <c r="J3116" i="2" s="1"/>
  <c r="F3101" i="2"/>
  <c r="G3101" i="2" s="1"/>
  <c r="H3101" i="2" s="1"/>
  <c r="I3101" i="2" s="1"/>
  <c r="F3086" i="2"/>
  <c r="G3086" i="2" s="1"/>
  <c r="H3086" i="2" s="1"/>
  <c r="G3071" i="2"/>
  <c r="H3071" i="2" s="1"/>
  <c r="I3071" i="2" s="1"/>
  <c r="F3071" i="2"/>
  <c r="F3056" i="2"/>
  <c r="G3056" i="2" s="1"/>
  <c r="H3056" i="2" s="1"/>
  <c r="I3056" i="2" s="1"/>
  <c r="J3056" i="2" s="1"/>
  <c r="F3041" i="2"/>
  <c r="G3041" i="2" s="1"/>
  <c r="H3041" i="2" s="1"/>
  <c r="I3041" i="2" s="1"/>
  <c r="J3041" i="2" s="1"/>
  <c r="F3026" i="2"/>
  <c r="G3026" i="2" s="1"/>
  <c r="H3026" i="2" s="1"/>
  <c r="F3011" i="2"/>
  <c r="G3011" i="2" s="1"/>
  <c r="H3011" i="2" s="1"/>
  <c r="F2996" i="2"/>
  <c r="G2996" i="2" s="1"/>
  <c r="H2996" i="2" s="1"/>
  <c r="I2996" i="2" s="1"/>
  <c r="F2981" i="2"/>
  <c r="G2981" i="2" s="1"/>
  <c r="H2981" i="2" s="1"/>
  <c r="F2966" i="2"/>
  <c r="G2966" i="2" s="1"/>
  <c r="H2966" i="2" s="1"/>
  <c r="I2966" i="2" s="1"/>
  <c r="J2966" i="2" s="1"/>
  <c r="F2951" i="2"/>
  <c r="G2951" i="2" s="1"/>
  <c r="H2951" i="2" s="1"/>
  <c r="I2951" i="2" s="1"/>
  <c r="J2951" i="2" s="1"/>
  <c r="K2951" i="2" s="1"/>
  <c r="F2936" i="2"/>
  <c r="G2936" i="2" s="1"/>
  <c r="H2936" i="2" s="1"/>
  <c r="I2936" i="2" s="1"/>
  <c r="J2936" i="2" s="1"/>
  <c r="F2921" i="2"/>
  <c r="G2921" i="2" s="1"/>
  <c r="H2921" i="2" s="1"/>
  <c r="I2921" i="2" s="1"/>
  <c r="F2906" i="2"/>
  <c r="G2906" i="2" s="1"/>
  <c r="H2906" i="2" s="1"/>
  <c r="I2906" i="2" s="1"/>
  <c r="J2906" i="2" s="1"/>
  <c r="H2891" i="2"/>
  <c r="I2891" i="2" s="1"/>
  <c r="F2891" i="2"/>
  <c r="G2891" i="2" s="1"/>
  <c r="F2876" i="2"/>
  <c r="G2876" i="2" s="1"/>
  <c r="H2876" i="2" s="1"/>
  <c r="I2876" i="2" s="1"/>
  <c r="J2876" i="2" s="1"/>
  <c r="F2861" i="2"/>
  <c r="G2861" i="2" s="1"/>
  <c r="H2861" i="2" s="1"/>
  <c r="I2861" i="2" s="1"/>
  <c r="J2861" i="2" s="1"/>
  <c r="I2846" i="2"/>
  <c r="F2846" i="2"/>
  <c r="G2846" i="2" s="1"/>
  <c r="H2846" i="2" s="1"/>
  <c r="F2831" i="2"/>
  <c r="G2831" i="2" s="1"/>
  <c r="H2831" i="2" s="1"/>
  <c r="I2831" i="2" s="1"/>
  <c r="F2816" i="2"/>
  <c r="G2816" i="2" s="1"/>
  <c r="H2816" i="2" s="1"/>
  <c r="I2801" i="2"/>
  <c r="F2801" i="2"/>
  <c r="G2801" i="2" s="1"/>
  <c r="H2801" i="2" s="1"/>
  <c r="F2786" i="2"/>
  <c r="G2786" i="2" s="1"/>
  <c r="H2786" i="2" s="1"/>
  <c r="I2786" i="2" s="1"/>
  <c r="F2771" i="2"/>
  <c r="G2771" i="2" s="1"/>
  <c r="H2771" i="2" s="1"/>
  <c r="I2771" i="2" s="1"/>
  <c r="J2771" i="2" s="1"/>
  <c r="F2756" i="2"/>
  <c r="G2756" i="2" s="1"/>
  <c r="H2756" i="2" s="1"/>
  <c r="F2741" i="2"/>
  <c r="G2741" i="2" s="1"/>
  <c r="H2741" i="2" s="1"/>
  <c r="F2726" i="2"/>
  <c r="G2726" i="2" s="1"/>
  <c r="H2726" i="2" s="1"/>
  <c r="I2726" i="2" s="1"/>
  <c r="J2726" i="2" s="1"/>
  <c r="K2726" i="2" s="1"/>
  <c r="F2711" i="2"/>
  <c r="G2711" i="2" s="1"/>
  <c r="H2711" i="2" s="1"/>
  <c r="I2711" i="2" s="1"/>
  <c r="J2711" i="2" s="1"/>
  <c r="F2696" i="2"/>
  <c r="G2696" i="2" s="1"/>
  <c r="H2696" i="2" s="1"/>
  <c r="I2696" i="2" s="1"/>
  <c r="J2696" i="2" s="1"/>
  <c r="K2696" i="2" s="1"/>
  <c r="F2681" i="2"/>
  <c r="G2681" i="2" s="1"/>
  <c r="H2681" i="2" s="1"/>
  <c r="I2681" i="2" s="1"/>
  <c r="J2681" i="2" s="1"/>
  <c r="K2681" i="2" s="1"/>
  <c r="F2666" i="2"/>
  <c r="G2666" i="2" s="1"/>
  <c r="H2666" i="2" s="1"/>
  <c r="I2666" i="2" s="1"/>
  <c r="F2651" i="2"/>
  <c r="G2651" i="2" s="1"/>
  <c r="H2651" i="2" s="1"/>
  <c r="I2651" i="2" s="1"/>
  <c r="F2636" i="2"/>
  <c r="G2636" i="2" s="1"/>
  <c r="H2636" i="2" s="1"/>
  <c r="I2636" i="2" s="1"/>
  <c r="F2621" i="2"/>
  <c r="G2621" i="2" s="1"/>
  <c r="H2621" i="2" s="1"/>
  <c r="I2621" i="2" s="1"/>
  <c r="F2606" i="2"/>
  <c r="G2606" i="2" s="1"/>
  <c r="H2606" i="2" s="1"/>
  <c r="I2606" i="2" s="1"/>
  <c r="J2606" i="2" s="1"/>
  <c r="F2591" i="2"/>
  <c r="G2591" i="2" s="1"/>
  <c r="H2591" i="2" s="1"/>
  <c r="F2576" i="2"/>
  <c r="G2576" i="2" s="1"/>
  <c r="H2576" i="2" s="1"/>
  <c r="I2576" i="2" s="1"/>
  <c r="F2561" i="2"/>
  <c r="G2561" i="2" s="1"/>
  <c r="H2561" i="2" s="1"/>
  <c r="I2561" i="2" s="1"/>
  <c r="F2546" i="2"/>
  <c r="G2546" i="2" s="1"/>
  <c r="H2546" i="2" s="1"/>
  <c r="F2531" i="2"/>
  <c r="G2531" i="2" s="1"/>
  <c r="H2531" i="2" s="1"/>
  <c r="I2531" i="2" s="1"/>
  <c r="F2516" i="2"/>
  <c r="G2516" i="2" s="1"/>
  <c r="H2516" i="2" s="1"/>
  <c r="F2501" i="2"/>
  <c r="G2501" i="2" s="1"/>
  <c r="H2501" i="2" s="1"/>
  <c r="I2501" i="2" s="1"/>
  <c r="H2486" i="2"/>
  <c r="F2486" i="2"/>
  <c r="G2486" i="2" s="1"/>
  <c r="F2471" i="2"/>
  <c r="G2471" i="2" s="1"/>
  <c r="H2471" i="2" s="1"/>
  <c r="F2456" i="2"/>
  <c r="G2456" i="2" s="1"/>
  <c r="H2456" i="2" s="1"/>
  <c r="F2441" i="2"/>
  <c r="G2441" i="2" s="1"/>
  <c r="H2441" i="2" s="1"/>
  <c r="I2441" i="2" s="1"/>
  <c r="F2426" i="2"/>
  <c r="G2426" i="2" s="1"/>
  <c r="H2426" i="2" s="1"/>
  <c r="I2426" i="2" s="1"/>
  <c r="F2411" i="2"/>
  <c r="G2411" i="2" s="1"/>
  <c r="H2411" i="2" s="1"/>
  <c r="I2411" i="2" s="1"/>
  <c r="F2396" i="2"/>
  <c r="G2396" i="2" s="1"/>
  <c r="H2396" i="2" s="1"/>
  <c r="I2396" i="2" s="1"/>
  <c r="F2381" i="2"/>
  <c r="G2381" i="2" s="1"/>
  <c r="H2381" i="2" s="1"/>
  <c r="I2381" i="2" s="1"/>
  <c r="J2381" i="2" s="1"/>
  <c r="K2381" i="2" s="1"/>
  <c r="F2366" i="2"/>
  <c r="G2366" i="2" s="1"/>
  <c r="H2366" i="2" s="1"/>
  <c r="I2366" i="2" s="1"/>
  <c r="J2366" i="2" s="1"/>
  <c r="K2366" i="2" s="1"/>
  <c r="F2351" i="2"/>
  <c r="G2351" i="2" s="1"/>
  <c r="H2351" i="2" s="1"/>
  <c r="I2351" i="2" s="1"/>
  <c r="F2336" i="2"/>
  <c r="G2336" i="2" s="1"/>
  <c r="H2336" i="2" s="1"/>
  <c r="I2336" i="2" s="1"/>
  <c r="J2336" i="2" s="1"/>
  <c r="F2321" i="2"/>
  <c r="G2321" i="2" s="1"/>
  <c r="H2321" i="2" s="1"/>
  <c r="F2306" i="2"/>
  <c r="G2306" i="2" s="1"/>
  <c r="H2306" i="2" s="1"/>
  <c r="I2306" i="2" s="1"/>
  <c r="F2291" i="2"/>
  <c r="G2291" i="2" s="1"/>
  <c r="H2291" i="2" s="1"/>
  <c r="I2291" i="2" s="1"/>
  <c r="F2276" i="2"/>
  <c r="G2276" i="2" s="1"/>
  <c r="H2276" i="2" s="1"/>
  <c r="G2261" i="2"/>
  <c r="H2261" i="2" s="1"/>
  <c r="F2261" i="2"/>
  <c r="F2246" i="2"/>
  <c r="G2246" i="2" s="1"/>
  <c r="H2246" i="2" s="1"/>
  <c r="I2246" i="2" s="1"/>
  <c r="F2231" i="2"/>
  <c r="G2231" i="2" s="1"/>
  <c r="H2231" i="2" s="1"/>
  <c r="F2216" i="2"/>
  <c r="G2216" i="2" s="1"/>
  <c r="H2216" i="2" s="1"/>
  <c r="F2201" i="2"/>
  <c r="G2201" i="2" s="1"/>
  <c r="H2201" i="2" s="1"/>
  <c r="I2201" i="2" s="1"/>
  <c r="F2186" i="2"/>
  <c r="G2186" i="2" s="1"/>
  <c r="H2186" i="2" s="1"/>
  <c r="I2186" i="2" s="1"/>
  <c r="F2171" i="2"/>
  <c r="G2171" i="2" s="1"/>
  <c r="H2171" i="2" s="1"/>
  <c r="I2171" i="2" s="1"/>
  <c r="F2156" i="2"/>
  <c r="G2156" i="2" s="1"/>
  <c r="H2156" i="2" s="1"/>
  <c r="I2156" i="2" s="1"/>
  <c r="F2141" i="2"/>
  <c r="G2141" i="2" s="1"/>
  <c r="H2141" i="2" s="1"/>
  <c r="I2141" i="2" s="1"/>
  <c r="J2141" i="2" s="1"/>
  <c r="K2141" i="2" s="1"/>
  <c r="F2126" i="2"/>
  <c r="G2126" i="2" s="1"/>
  <c r="H2126" i="2" s="1"/>
  <c r="I2126" i="2" s="1"/>
  <c r="J2126" i="2" s="1"/>
  <c r="G2111" i="2"/>
  <c r="H2111" i="2" s="1"/>
  <c r="I2111" i="2" s="1"/>
  <c r="F2111" i="2"/>
  <c r="F2096" i="2"/>
  <c r="G2096" i="2" s="1"/>
  <c r="H2096" i="2" s="1"/>
  <c r="I2096" i="2" s="1"/>
  <c r="F2081" i="2"/>
  <c r="G2081" i="2" s="1"/>
  <c r="H2081" i="2" s="1"/>
  <c r="F2066" i="2"/>
  <c r="G2066" i="2" s="1"/>
  <c r="H2066" i="2" s="1"/>
  <c r="I2066" i="2" s="1"/>
  <c r="J2066" i="2" s="1"/>
  <c r="F2051" i="2"/>
  <c r="G2051" i="2" s="1"/>
  <c r="H2051" i="2" s="1"/>
  <c r="I2051" i="2" s="1"/>
  <c r="F2036" i="2"/>
  <c r="G2036" i="2" s="1"/>
  <c r="H2036" i="2" s="1"/>
  <c r="F2021" i="2"/>
  <c r="G2021" i="2" s="1"/>
  <c r="H2021" i="2" s="1"/>
  <c r="F2006" i="2"/>
  <c r="G2006" i="2" s="1"/>
  <c r="H2006" i="2" s="1"/>
  <c r="I2006" i="2" s="1"/>
  <c r="F1991" i="2"/>
  <c r="G1991" i="2" s="1"/>
  <c r="H1991" i="2" s="1"/>
  <c r="F1976" i="2"/>
  <c r="G1976" i="2" s="1"/>
  <c r="H1976" i="2" s="1"/>
  <c r="G1961" i="2"/>
  <c r="H1961" i="2" s="1"/>
  <c r="I1961" i="2" s="1"/>
  <c r="F1961" i="2"/>
  <c r="F1946" i="2"/>
  <c r="G1946" i="2" s="1"/>
  <c r="H1946" i="2" s="1"/>
  <c r="F1931" i="2"/>
  <c r="G1931" i="2" s="1"/>
  <c r="H1931" i="2" s="1"/>
  <c r="F1916" i="2"/>
  <c r="G1916" i="2" s="1"/>
  <c r="H1916" i="2" s="1"/>
  <c r="I1916" i="2" s="1"/>
  <c r="J1916" i="2" s="1"/>
  <c r="K1916" i="2" s="1"/>
  <c r="F1901" i="2"/>
  <c r="G1901" i="2" s="1"/>
  <c r="H1901" i="2" s="1"/>
  <c r="I1901" i="2" s="1"/>
  <c r="J1901" i="2" s="1"/>
  <c r="F1886" i="2"/>
  <c r="G1886" i="2" s="1"/>
  <c r="H1886" i="2" s="1"/>
  <c r="I1886" i="2" s="1"/>
  <c r="J1886" i="2" s="1"/>
  <c r="K1886" i="2" s="1"/>
  <c r="F1871" i="2"/>
  <c r="G1871" i="2" s="1"/>
  <c r="H1871" i="2" s="1"/>
  <c r="I1871" i="2" s="1"/>
  <c r="J1871" i="2" s="1"/>
  <c r="G1856" i="2"/>
  <c r="H1856" i="2" s="1"/>
  <c r="I1856" i="2" s="1"/>
  <c r="F1856" i="2"/>
  <c r="F1841" i="2"/>
  <c r="G1841" i="2" s="1"/>
  <c r="H1841" i="2" s="1"/>
  <c r="I1841" i="2" s="1"/>
  <c r="F1826" i="2"/>
  <c r="G1826" i="2" s="1"/>
  <c r="H1826" i="2" s="1"/>
  <c r="I1826" i="2" s="1"/>
  <c r="F1811" i="2"/>
  <c r="G1811" i="2" s="1"/>
  <c r="H1811" i="2" s="1"/>
  <c r="I1811" i="2" s="1"/>
  <c r="F1796" i="2"/>
  <c r="G1796" i="2" s="1"/>
  <c r="H1796" i="2" s="1"/>
  <c r="F1781" i="2"/>
  <c r="G1781" i="2" s="1"/>
  <c r="H1781" i="2" s="1"/>
  <c r="I1781" i="2" s="1"/>
  <c r="G1766" i="2"/>
  <c r="H1766" i="2" s="1"/>
  <c r="I1766" i="2" s="1"/>
  <c r="J1766" i="2" s="1"/>
  <c r="F1766" i="2"/>
  <c r="F1751" i="2"/>
  <c r="G1751" i="2" s="1"/>
  <c r="H1751" i="2" s="1"/>
  <c r="F1736" i="2"/>
  <c r="G1736" i="2" s="1"/>
  <c r="H1736" i="2" s="1"/>
  <c r="I1736" i="2" s="1"/>
  <c r="F1721" i="2"/>
  <c r="G1721" i="2" s="1"/>
  <c r="H1721" i="2" s="1"/>
  <c r="F1706" i="2"/>
  <c r="G1706" i="2" s="1"/>
  <c r="H1706" i="2" s="1"/>
  <c r="I1706" i="2" s="1"/>
  <c r="J1706" i="2" s="1"/>
  <c r="K1706" i="2" s="1"/>
  <c r="G1691" i="2"/>
  <c r="H1691" i="2" s="1"/>
  <c r="I1691" i="2" s="1"/>
  <c r="J1691" i="2" s="1"/>
  <c r="F1691" i="2"/>
  <c r="F1676" i="2"/>
  <c r="G1676" i="2" s="1"/>
  <c r="H1676" i="2" s="1"/>
  <c r="I1676" i="2" s="1"/>
  <c r="J1676" i="2" s="1"/>
  <c r="K1676" i="2" s="1"/>
  <c r="F1661" i="2"/>
  <c r="G1661" i="2" s="1"/>
  <c r="H1661" i="2" s="1"/>
  <c r="I1661" i="2" s="1"/>
  <c r="J1661" i="2" s="1"/>
  <c r="F1646" i="2"/>
  <c r="G1646" i="2" s="1"/>
  <c r="H1646" i="2" s="1"/>
  <c r="F1631" i="2"/>
  <c r="G1631" i="2" s="1"/>
  <c r="H1631" i="2" s="1"/>
  <c r="I1631" i="2" s="1"/>
  <c r="J1631" i="2" s="1"/>
  <c r="F1616" i="2"/>
  <c r="G1616" i="2" s="1"/>
  <c r="H1616" i="2" s="1"/>
  <c r="F1601" i="2"/>
  <c r="G1601" i="2" s="1"/>
  <c r="H1601" i="2" s="1"/>
  <c r="F1586" i="2"/>
  <c r="G1586" i="2" s="1"/>
  <c r="H1586" i="2" s="1"/>
  <c r="I1586" i="2" s="1"/>
  <c r="J1586" i="2" s="1"/>
  <c r="F1571" i="2"/>
  <c r="G1571" i="2" s="1"/>
  <c r="H1571" i="2" s="1"/>
  <c r="I1571" i="2" s="1"/>
  <c r="J1571" i="2" s="1"/>
  <c r="F1556" i="2"/>
  <c r="G1556" i="2" s="1"/>
  <c r="H1556" i="2" s="1"/>
  <c r="I1556" i="2" s="1"/>
  <c r="J1556" i="2" s="1"/>
  <c r="F1541" i="2"/>
  <c r="G1541" i="2" s="1"/>
  <c r="H1541" i="2" s="1"/>
  <c r="I1541" i="2" s="1"/>
  <c r="F1526" i="2"/>
  <c r="G1526" i="2" s="1"/>
  <c r="H1526" i="2" s="1"/>
  <c r="I1526" i="2" s="1"/>
  <c r="F1511" i="2"/>
  <c r="G1511" i="2" s="1"/>
  <c r="H1511" i="2" s="1"/>
  <c r="I1511" i="2" s="1"/>
  <c r="G1496" i="2"/>
  <c r="H1496" i="2" s="1"/>
  <c r="I1496" i="2" s="1"/>
  <c r="F1496" i="2"/>
  <c r="F1481" i="2"/>
  <c r="G1481" i="2" s="1"/>
  <c r="H1481" i="2" s="1"/>
  <c r="F1466" i="2"/>
  <c r="G1466" i="2" s="1"/>
  <c r="H1466" i="2" s="1"/>
  <c r="I1466" i="2" s="1"/>
  <c r="F1451" i="2"/>
  <c r="G1451" i="2" s="1"/>
  <c r="H1451" i="2" s="1"/>
  <c r="I1451" i="2" s="1"/>
  <c r="J1451" i="2" s="1"/>
  <c r="F1436" i="2"/>
  <c r="G1436" i="2" s="1"/>
  <c r="H1436" i="2" s="1"/>
  <c r="F1421" i="2"/>
  <c r="G1421" i="2" s="1"/>
  <c r="H1421" i="2" s="1"/>
  <c r="I1421" i="2" s="1"/>
  <c r="J1421" i="2" s="1"/>
  <c r="K1421" i="2" s="1"/>
  <c r="F1406" i="2"/>
  <c r="G1406" i="2" s="1"/>
  <c r="H1406" i="2" s="1"/>
  <c r="I1406" i="2" s="1"/>
  <c r="J1406" i="2" s="1"/>
  <c r="F1391" i="2"/>
  <c r="G1391" i="2" s="1"/>
  <c r="H1391" i="2" s="1"/>
  <c r="I1391" i="2" s="1"/>
  <c r="J1391" i="2" s="1"/>
  <c r="K1391" i="2" s="1"/>
  <c r="F1376" i="2"/>
  <c r="G1376" i="2" s="1"/>
  <c r="H1376" i="2" s="1"/>
  <c r="I1376" i="2" s="1"/>
  <c r="J1376" i="2" s="1"/>
  <c r="F1361" i="2"/>
  <c r="G1361" i="2" s="1"/>
  <c r="H1361" i="2" s="1"/>
  <c r="F1346" i="2"/>
  <c r="G1346" i="2" s="1"/>
  <c r="H1346" i="2" s="1"/>
  <c r="I1346" i="2" s="1"/>
  <c r="J1346" i="2" s="1"/>
  <c r="F1331" i="2"/>
  <c r="G1331" i="2" s="1"/>
  <c r="H1331" i="2" s="1"/>
  <c r="F1316" i="2"/>
  <c r="G1316" i="2" s="1"/>
  <c r="H1316" i="2" s="1"/>
  <c r="I1316" i="2" s="1"/>
  <c r="F1301" i="2"/>
  <c r="G1301" i="2" s="1"/>
  <c r="H1301" i="2" s="1"/>
  <c r="I1301" i="2" s="1"/>
  <c r="F1286" i="2"/>
  <c r="G1286" i="2" s="1"/>
  <c r="H1286" i="2" s="1"/>
  <c r="I1286" i="2" s="1"/>
  <c r="F1271" i="2"/>
  <c r="G1271" i="2" s="1"/>
  <c r="H1271" i="2" s="1"/>
  <c r="I1271" i="2" s="1"/>
  <c r="F1256" i="2"/>
  <c r="G1256" i="2" s="1"/>
  <c r="H1256" i="2" s="1"/>
  <c r="I1256" i="2" s="1"/>
  <c r="F1241" i="2"/>
  <c r="G1241" i="2" s="1"/>
  <c r="H1241" i="2" s="1"/>
  <c r="I1241" i="2" s="1"/>
  <c r="G1226" i="2"/>
  <c r="H1226" i="2" s="1"/>
  <c r="I1226" i="2" s="1"/>
  <c r="J1226" i="2" s="1"/>
  <c r="F1226" i="2"/>
  <c r="F1211" i="2"/>
  <c r="G1211" i="2" s="1"/>
  <c r="H1211" i="2" s="1"/>
  <c r="F1196" i="2"/>
  <c r="G1196" i="2" s="1"/>
  <c r="H1196" i="2" s="1"/>
  <c r="F1181" i="2"/>
  <c r="G1181" i="2" s="1"/>
  <c r="H1181" i="2" s="1"/>
  <c r="I1181" i="2" s="1"/>
  <c r="J1181" i="2" s="1"/>
  <c r="K1181" i="2" s="1"/>
  <c r="G1166" i="2"/>
  <c r="H1166" i="2" s="1"/>
  <c r="I1166" i="2" s="1"/>
  <c r="F1166" i="2"/>
  <c r="F1151" i="2"/>
  <c r="G1151" i="2" s="1"/>
  <c r="H1151" i="2" s="1"/>
  <c r="I1151" i="2" s="1"/>
  <c r="J1151" i="2" s="1"/>
  <c r="K1151" i="2" s="1"/>
  <c r="F1136" i="2"/>
  <c r="G1136" i="2" s="1"/>
  <c r="H1136" i="2" s="1"/>
  <c r="I1136" i="2" s="1"/>
  <c r="F1121" i="2"/>
  <c r="G1121" i="2" s="1"/>
  <c r="H1121" i="2" s="1"/>
  <c r="F1106" i="2"/>
  <c r="G1106" i="2" s="1"/>
  <c r="H1106" i="2" s="1"/>
  <c r="I1106" i="2" s="1"/>
  <c r="F1091" i="2"/>
  <c r="G1091" i="2" s="1"/>
  <c r="H1091" i="2" s="1"/>
  <c r="F1076" i="2"/>
  <c r="G1076" i="2" s="1"/>
  <c r="H1076" i="2" s="1"/>
  <c r="I1076" i="2" s="1"/>
  <c r="F1061" i="2"/>
  <c r="G1061" i="2" s="1"/>
  <c r="H1061" i="2" s="1"/>
  <c r="I1061" i="2" s="1"/>
  <c r="J1061" i="2" s="1"/>
  <c r="K1061" i="2" s="1"/>
  <c r="F1046" i="2"/>
  <c r="G1046" i="2" s="1"/>
  <c r="H1046" i="2" s="1"/>
  <c r="I1046" i="2" s="1"/>
  <c r="F1031" i="2"/>
  <c r="G1031" i="2" s="1"/>
  <c r="H1031" i="2" s="1"/>
  <c r="I1031" i="2" s="1"/>
  <c r="J1031" i="2" s="1"/>
  <c r="F1016" i="2"/>
  <c r="G1016" i="2" s="1"/>
  <c r="H1016" i="2" s="1"/>
  <c r="I1016" i="2" s="1"/>
  <c r="F1001" i="2"/>
  <c r="G1001" i="2" s="1"/>
  <c r="H1001" i="2" s="1"/>
  <c r="I1001" i="2" s="1"/>
  <c r="F986" i="2"/>
  <c r="G986" i="2" s="1"/>
  <c r="H986" i="2" s="1"/>
  <c r="I986" i="2" s="1"/>
  <c r="J986" i="2" s="1"/>
  <c r="K986" i="2" s="1"/>
  <c r="F971" i="2"/>
  <c r="G971" i="2" s="1"/>
  <c r="H971" i="2" s="1"/>
  <c r="I971" i="2" s="1"/>
  <c r="F956" i="2"/>
  <c r="G956" i="2" s="1"/>
  <c r="H956" i="2" s="1"/>
  <c r="I956" i="2" s="1"/>
  <c r="J956" i="2" s="1"/>
  <c r="K956" i="2" s="1"/>
  <c r="G941" i="2"/>
  <c r="H941" i="2" s="1"/>
  <c r="I941" i="2" s="1"/>
  <c r="F941" i="2"/>
  <c r="F926" i="2"/>
  <c r="G926" i="2" s="1"/>
  <c r="H926" i="2" s="1"/>
  <c r="I926" i="2" s="1"/>
  <c r="J926" i="2" s="1"/>
  <c r="K926" i="2" s="1"/>
  <c r="F911" i="2"/>
  <c r="G911" i="2" s="1"/>
  <c r="H911" i="2" s="1"/>
  <c r="I911" i="2" s="1"/>
  <c r="F896" i="2"/>
  <c r="G896" i="2" s="1"/>
  <c r="H896" i="2" s="1"/>
  <c r="I896" i="2" s="1"/>
  <c r="F881" i="2"/>
  <c r="G881" i="2" s="1"/>
  <c r="H881" i="2" s="1"/>
  <c r="I881" i="2" s="1"/>
  <c r="J881" i="2" s="1"/>
  <c r="F866" i="2"/>
  <c r="G866" i="2" s="1"/>
  <c r="H866" i="2" s="1"/>
  <c r="F851" i="2"/>
  <c r="G851" i="2" s="1"/>
  <c r="H851" i="2" s="1"/>
  <c r="I851" i="2" s="1"/>
  <c r="F836" i="2"/>
  <c r="G836" i="2" s="1"/>
  <c r="H836" i="2" s="1"/>
  <c r="I836" i="2" s="1"/>
  <c r="J836" i="2" s="1"/>
  <c r="F821" i="2"/>
  <c r="G821" i="2" s="1"/>
  <c r="H821" i="2" s="1"/>
  <c r="I821" i="2" s="1"/>
  <c r="J821" i="2" s="1"/>
  <c r="F806" i="2"/>
  <c r="G806" i="2" s="1"/>
  <c r="H806" i="2" s="1"/>
  <c r="F791" i="2"/>
  <c r="G791" i="2" s="1"/>
  <c r="H791" i="2" s="1"/>
  <c r="F776" i="2"/>
  <c r="G776" i="2" s="1"/>
  <c r="H776" i="2" s="1"/>
  <c r="I776" i="2" s="1"/>
  <c r="F761" i="2"/>
  <c r="G761" i="2" s="1"/>
  <c r="H761" i="2" s="1"/>
  <c r="G746" i="2"/>
  <c r="H746" i="2" s="1"/>
  <c r="I746" i="2" s="1"/>
  <c r="F746" i="2"/>
  <c r="F731" i="2"/>
  <c r="G731" i="2" s="1"/>
  <c r="H731" i="2" s="1"/>
  <c r="I731" i="2" s="1"/>
  <c r="J731" i="2" s="1"/>
  <c r="K731" i="2" s="1"/>
  <c r="F716" i="2"/>
  <c r="G716" i="2" s="1"/>
  <c r="H716" i="2" s="1"/>
  <c r="I716" i="2" s="1"/>
  <c r="F701" i="2"/>
  <c r="G701" i="2" s="1"/>
  <c r="H701" i="2" s="1"/>
  <c r="I701" i="2" s="1"/>
  <c r="J701" i="2" s="1"/>
  <c r="K701" i="2" s="1"/>
  <c r="F686" i="2"/>
  <c r="G686" i="2" s="1"/>
  <c r="H686" i="2" s="1"/>
  <c r="I686" i="2" s="1"/>
  <c r="G671" i="2"/>
  <c r="H671" i="2" s="1"/>
  <c r="I671" i="2" s="1"/>
  <c r="F671" i="2"/>
  <c r="F656" i="2"/>
  <c r="G656" i="2" s="1"/>
  <c r="H656" i="2" s="1"/>
  <c r="I656" i="2" s="1"/>
  <c r="J656" i="2" s="1"/>
  <c r="F641" i="2"/>
  <c r="G641" i="2" s="1"/>
  <c r="H641" i="2" s="1"/>
  <c r="I641" i="2" s="1"/>
  <c r="F626" i="2"/>
  <c r="G626" i="2" s="1"/>
  <c r="H626" i="2" s="1"/>
  <c r="I626" i="2" s="1"/>
  <c r="F611" i="2"/>
  <c r="G611" i="2" s="1"/>
  <c r="H611" i="2" s="1"/>
  <c r="I611" i="2" s="1"/>
  <c r="J611" i="2" s="1"/>
  <c r="K611" i="2" s="1"/>
  <c r="F596" i="2"/>
  <c r="G596" i="2" s="1"/>
  <c r="H596" i="2" s="1"/>
  <c r="I596" i="2" s="1"/>
  <c r="F581" i="2"/>
  <c r="G581" i="2" s="1"/>
  <c r="H581" i="2" s="1"/>
  <c r="I581" i="2" s="1"/>
  <c r="J581" i="2" s="1"/>
  <c r="K581" i="2" s="1"/>
  <c r="F566" i="2"/>
  <c r="G566" i="2" s="1"/>
  <c r="H566" i="2" s="1"/>
  <c r="I566" i="2" s="1"/>
  <c r="F551" i="2"/>
  <c r="G551" i="2" s="1"/>
  <c r="H551" i="2" s="1"/>
  <c r="I551" i="2" s="1"/>
  <c r="F536" i="2"/>
  <c r="G536" i="2" s="1"/>
  <c r="H536" i="2" s="1"/>
  <c r="I536" i="2" s="1"/>
  <c r="J536" i="2" s="1"/>
  <c r="F521" i="2"/>
  <c r="G521" i="2" s="1"/>
  <c r="H521" i="2" s="1"/>
  <c r="F506" i="2"/>
  <c r="G506" i="2" s="1"/>
  <c r="H506" i="2" s="1"/>
  <c r="F491" i="2"/>
  <c r="G491" i="2" s="1"/>
  <c r="H491" i="2" s="1"/>
  <c r="I491" i="2" s="1"/>
  <c r="J491" i="2" s="1"/>
  <c r="K491" i="2" s="1"/>
  <c r="F476" i="2"/>
  <c r="G476" i="2" s="1"/>
  <c r="H476" i="2" s="1"/>
  <c r="I476" i="2" s="1"/>
  <c r="J476" i="2" s="1"/>
  <c r="K476" i="2" s="1"/>
  <c r="F461" i="2"/>
  <c r="G461" i="2" s="1"/>
  <c r="H461" i="2" s="1"/>
  <c r="F446" i="2"/>
  <c r="G446" i="2" s="1"/>
  <c r="H446" i="2" s="1"/>
  <c r="I446" i="2" s="1"/>
  <c r="F431" i="2"/>
  <c r="G431" i="2" s="1"/>
  <c r="H431" i="2" s="1"/>
  <c r="F416" i="2"/>
  <c r="G416" i="2" s="1"/>
  <c r="H416" i="2" s="1"/>
  <c r="I416" i="2" s="1"/>
  <c r="F401" i="2"/>
  <c r="G401" i="2" s="1"/>
  <c r="H401" i="2" s="1"/>
  <c r="F386" i="2"/>
  <c r="G386" i="2" s="1"/>
  <c r="H386" i="2" s="1"/>
  <c r="I386" i="2" s="1"/>
  <c r="J386" i="2" s="1"/>
  <c r="K386" i="2" s="1"/>
  <c r="F371" i="2"/>
  <c r="G371" i="2" s="1"/>
  <c r="H371" i="2" s="1"/>
  <c r="I371" i="2" s="1"/>
  <c r="F356" i="2"/>
  <c r="G356" i="2" s="1"/>
  <c r="H356" i="2" s="1"/>
  <c r="I356" i="2" s="1"/>
  <c r="J356" i="2" s="1"/>
  <c r="K356" i="2" s="1"/>
  <c r="F341" i="2"/>
  <c r="G341" i="2" s="1"/>
  <c r="H341" i="2" s="1"/>
  <c r="I341" i="2" s="1"/>
  <c r="F326" i="2"/>
  <c r="G326" i="2" s="1"/>
  <c r="H326" i="2" s="1"/>
  <c r="I326" i="2" s="1"/>
  <c r="F311" i="2"/>
  <c r="G311" i="2" s="1"/>
  <c r="H311" i="2" s="1"/>
  <c r="I311" i="2" s="1"/>
  <c r="F296" i="2"/>
  <c r="G296" i="2" s="1"/>
  <c r="H296" i="2" s="1"/>
  <c r="I296" i="2" s="1"/>
  <c r="F281" i="2"/>
  <c r="G281" i="2" s="1"/>
  <c r="H281" i="2" s="1"/>
  <c r="I281" i="2" s="1"/>
  <c r="J281" i="2" s="1"/>
  <c r="K281" i="2" s="1"/>
  <c r="F266" i="2"/>
  <c r="G266" i="2" s="1"/>
  <c r="H266" i="2" s="1"/>
  <c r="I266" i="2" s="1"/>
  <c r="F251" i="2"/>
  <c r="G251" i="2" s="1"/>
  <c r="H251" i="2" s="1"/>
  <c r="I251" i="2" s="1"/>
  <c r="J251" i="2" s="1"/>
  <c r="K251" i="2" s="1"/>
  <c r="F236" i="2"/>
  <c r="G236" i="2" s="1"/>
  <c r="H236" i="2" s="1"/>
  <c r="I236" i="2" s="1"/>
  <c r="F221" i="2"/>
  <c r="G221" i="2" s="1"/>
  <c r="H221" i="2" s="1"/>
  <c r="F206" i="2"/>
  <c r="G206" i="2" s="1"/>
  <c r="H206" i="2" s="1"/>
  <c r="F191" i="2"/>
  <c r="G191" i="2" s="1"/>
  <c r="H191" i="2" s="1"/>
  <c r="I191" i="2" s="1"/>
  <c r="F176" i="2"/>
  <c r="G176" i="2" s="1"/>
  <c r="H176" i="2" s="1"/>
  <c r="I176" i="2" s="1"/>
  <c r="J176" i="2" s="1"/>
  <c r="F161" i="2"/>
  <c r="G161" i="2" s="1"/>
  <c r="H161" i="2" s="1"/>
  <c r="I161" i="2" s="1"/>
  <c r="F146" i="2"/>
  <c r="G146" i="2" s="1"/>
  <c r="H146" i="2" s="1"/>
  <c r="F131" i="2"/>
  <c r="G131" i="2" s="1"/>
  <c r="H131" i="2" s="1"/>
  <c r="F116" i="2"/>
  <c r="G116" i="2" s="1"/>
  <c r="H116" i="2" s="1"/>
  <c r="I116" i="2" s="1"/>
  <c r="F101" i="2"/>
  <c r="G101" i="2" s="1"/>
  <c r="H101" i="2" s="1"/>
  <c r="I101" i="2" s="1"/>
  <c r="J101" i="2" s="1"/>
  <c r="K101" i="2" s="1"/>
  <c r="F86" i="2"/>
  <c r="G86" i="2" s="1"/>
  <c r="H86" i="2" s="1"/>
  <c r="I86" i="2" s="1"/>
  <c r="F71" i="2"/>
  <c r="G71" i="2" s="1"/>
  <c r="H71" i="2" s="1"/>
  <c r="I71" i="2" s="1"/>
  <c r="J71" i="2" s="1"/>
  <c r="K71" i="2" s="1"/>
  <c r="F56" i="2"/>
  <c r="G56" i="2" s="1"/>
  <c r="H56" i="2" s="1"/>
  <c r="I56" i="2" s="1"/>
  <c r="F41" i="2"/>
  <c r="G41" i="2" s="1"/>
  <c r="H41" i="2" s="1"/>
  <c r="F26" i="2"/>
  <c r="G26" i="2" s="1"/>
  <c r="H26" i="2" s="1"/>
  <c r="R1" i="3"/>
  <c r="S1" i="3" s="1"/>
  <c r="T1" i="3" s="1"/>
  <c r="U1" i="3" s="1"/>
  <c r="C4896" i="2" l="1"/>
  <c r="D4895" i="2"/>
  <c r="C4881" i="2"/>
  <c r="D4880" i="2"/>
  <c r="C4866" i="2"/>
  <c r="D4865" i="2"/>
  <c r="C4851" i="2"/>
  <c r="D4850" i="2"/>
  <c r="C4836" i="2"/>
  <c r="D4835" i="2"/>
  <c r="C4821" i="2"/>
  <c r="D4820" i="2"/>
  <c r="C4806" i="2"/>
  <c r="D4805" i="2"/>
  <c r="C4791" i="2"/>
  <c r="D4790" i="2"/>
  <c r="D4775" i="2"/>
  <c r="C4761" i="2"/>
  <c r="D4760" i="2"/>
  <c r="C4746" i="2"/>
  <c r="D4745" i="2"/>
  <c r="C4731" i="2"/>
  <c r="D4730" i="2"/>
  <c r="D4715" i="2"/>
  <c r="C4701" i="2"/>
  <c r="D4700" i="2"/>
  <c r="C4686" i="2"/>
  <c r="D4685" i="2"/>
  <c r="C4671" i="2"/>
  <c r="D4670" i="2"/>
  <c r="C4656" i="2"/>
  <c r="D4655" i="2"/>
  <c r="C4641" i="2"/>
  <c r="D4640" i="2"/>
  <c r="C4626" i="2"/>
  <c r="D4625" i="2"/>
  <c r="C4611" i="2"/>
  <c r="D4610" i="2"/>
  <c r="C4596" i="2"/>
  <c r="D4595" i="2"/>
  <c r="C4581" i="2"/>
  <c r="D4580" i="2"/>
  <c r="C4566" i="2"/>
  <c r="D4565" i="2"/>
  <c r="C4551" i="2"/>
  <c r="D4550" i="2"/>
  <c r="C4536" i="2"/>
  <c r="D4535" i="2"/>
  <c r="C4521" i="2"/>
  <c r="D4520" i="2"/>
  <c r="C4506" i="2"/>
  <c r="D4505" i="2"/>
  <c r="C4491" i="2"/>
  <c r="D4490" i="2"/>
  <c r="C4476" i="2"/>
  <c r="D4475" i="2"/>
  <c r="C4461" i="2"/>
  <c r="D4460" i="2"/>
  <c r="C4446" i="2"/>
  <c r="D4445" i="2"/>
  <c r="C4431" i="2"/>
  <c r="D4430" i="2"/>
  <c r="C4416" i="2"/>
  <c r="D4415" i="2"/>
  <c r="C4401" i="2"/>
  <c r="D4400" i="2"/>
  <c r="C4386" i="2"/>
  <c r="D4385" i="2"/>
  <c r="C4371" i="2"/>
  <c r="D4370" i="2"/>
  <c r="C4356" i="2"/>
  <c r="D4355" i="2"/>
  <c r="C4341" i="2"/>
  <c r="D4340" i="2"/>
  <c r="C4326" i="2"/>
  <c r="D4325" i="2"/>
  <c r="C4311" i="2"/>
  <c r="D4310" i="2"/>
  <c r="C4296" i="2"/>
  <c r="D4295" i="2"/>
  <c r="C4281" i="2"/>
  <c r="D4280" i="2"/>
  <c r="C4266" i="2"/>
  <c r="D4265" i="2"/>
  <c r="C4251" i="2"/>
  <c r="D4250" i="2"/>
  <c r="C4236" i="2"/>
  <c r="D4235" i="2"/>
  <c r="C4221" i="2"/>
  <c r="D4220" i="2"/>
  <c r="C4206" i="2"/>
  <c r="D4205" i="2"/>
  <c r="C4191" i="2"/>
  <c r="D4190" i="2"/>
  <c r="C4176" i="2"/>
  <c r="D4175" i="2"/>
  <c r="C4161" i="2"/>
  <c r="D4160" i="2"/>
  <c r="C4146" i="2"/>
  <c r="D4145" i="2"/>
  <c r="C4131" i="2"/>
  <c r="D4130" i="2"/>
  <c r="C4116" i="2"/>
  <c r="D4115" i="2"/>
  <c r="C4101" i="2"/>
  <c r="D4100" i="2"/>
  <c r="C4086" i="2"/>
  <c r="D4085" i="2"/>
  <c r="C4071" i="2"/>
  <c r="D4070" i="2"/>
  <c r="C4056" i="2"/>
  <c r="D4055" i="2"/>
  <c r="C4041" i="2"/>
  <c r="D4040" i="2"/>
  <c r="C4026" i="2"/>
  <c r="D4025" i="2"/>
  <c r="C4011" i="2"/>
  <c r="D4010" i="2"/>
  <c r="C3996" i="2"/>
  <c r="D3995" i="2"/>
  <c r="C3981" i="2"/>
  <c r="D3980" i="2"/>
  <c r="C3966" i="2"/>
  <c r="D3965" i="2"/>
  <c r="C3951" i="2"/>
  <c r="D3950" i="2"/>
  <c r="C3936" i="2"/>
  <c r="D3935" i="2"/>
  <c r="C3921" i="2"/>
  <c r="D3920" i="2"/>
  <c r="C3906" i="2"/>
  <c r="D3905" i="2"/>
  <c r="C3891" i="2"/>
  <c r="D3890" i="2"/>
  <c r="C3876" i="2"/>
  <c r="D3875" i="2"/>
  <c r="C3861" i="2"/>
  <c r="D3860" i="2"/>
  <c r="C3846" i="2"/>
  <c r="D3845" i="2"/>
  <c r="C3831" i="2"/>
  <c r="D3830" i="2"/>
  <c r="C3816" i="2"/>
  <c r="D3815" i="2"/>
  <c r="C3801" i="2"/>
  <c r="D3800" i="2"/>
  <c r="C3786" i="2"/>
  <c r="D3785" i="2"/>
  <c r="C3771" i="2"/>
  <c r="D3770" i="2"/>
  <c r="C3756" i="2"/>
  <c r="D3755" i="2"/>
  <c r="C3741" i="2"/>
  <c r="D3740" i="2"/>
  <c r="C3726" i="2"/>
  <c r="D3725" i="2"/>
  <c r="C3711" i="2"/>
  <c r="D3710" i="2"/>
  <c r="C3696" i="2"/>
  <c r="D3695" i="2"/>
  <c r="C3681" i="2"/>
  <c r="D3680" i="2"/>
  <c r="C3666" i="2"/>
  <c r="D3665" i="2"/>
  <c r="C3651" i="2"/>
  <c r="D3650" i="2"/>
  <c r="C3636" i="2"/>
  <c r="D3635" i="2"/>
  <c r="C3621" i="2"/>
  <c r="D3620" i="2"/>
  <c r="C3606" i="2"/>
  <c r="D3605" i="2"/>
  <c r="C3591" i="2"/>
  <c r="D3590" i="2"/>
  <c r="C3576" i="2"/>
  <c r="D3575" i="2"/>
  <c r="C3561" i="2"/>
  <c r="D3560" i="2"/>
  <c r="C3546" i="2"/>
  <c r="D3545" i="2"/>
  <c r="C3531" i="2"/>
  <c r="D3530" i="2"/>
  <c r="C3516" i="2"/>
  <c r="D3515" i="2"/>
  <c r="C3501" i="2"/>
  <c r="D3500" i="2"/>
  <c r="C3486" i="2"/>
  <c r="D3485" i="2"/>
  <c r="C3471" i="2"/>
  <c r="D3470" i="2"/>
  <c r="D3455" i="2"/>
  <c r="C3441" i="2"/>
  <c r="D3440" i="2"/>
  <c r="C3426" i="2"/>
  <c r="D3425" i="2"/>
  <c r="C3411" i="2"/>
  <c r="D3410" i="2"/>
  <c r="C3396" i="2"/>
  <c r="D3395" i="2"/>
  <c r="C3381" i="2"/>
  <c r="D3380" i="2"/>
  <c r="C3366" i="2"/>
  <c r="D3365" i="2"/>
  <c r="C3351" i="2"/>
  <c r="D3350" i="2"/>
  <c r="C3336" i="2"/>
  <c r="D3335" i="2"/>
  <c r="C3321" i="2"/>
  <c r="D3320" i="2"/>
  <c r="C3306" i="2"/>
  <c r="D3305" i="2"/>
  <c r="C3291" i="2"/>
  <c r="D3290" i="2"/>
  <c r="C3276" i="2"/>
  <c r="D3275" i="2"/>
  <c r="C3261" i="2"/>
  <c r="D3260" i="2"/>
  <c r="C3246" i="2"/>
  <c r="D3245" i="2"/>
  <c r="C3231" i="2"/>
  <c r="D3230" i="2"/>
  <c r="C3216" i="2"/>
  <c r="D3215" i="2"/>
  <c r="C3201" i="2"/>
  <c r="D3200" i="2"/>
  <c r="C3186" i="2"/>
  <c r="D3185" i="2"/>
  <c r="C3171" i="2"/>
  <c r="D3170" i="2"/>
  <c r="C3156" i="2"/>
  <c r="D3155" i="2"/>
  <c r="C3141" i="2"/>
  <c r="D3140" i="2"/>
  <c r="C3126" i="2"/>
  <c r="D3125" i="2"/>
  <c r="C3111" i="2"/>
  <c r="D3110" i="2"/>
  <c r="C3096" i="2"/>
  <c r="D3095" i="2"/>
  <c r="C3081" i="2"/>
  <c r="D3080" i="2"/>
  <c r="C3066" i="2"/>
  <c r="D3065" i="2"/>
  <c r="C3051" i="2"/>
  <c r="D3050" i="2"/>
  <c r="C3036" i="2"/>
  <c r="D3035" i="2"/>
  <c r="C3021" i="2"/>
  <c r="D3020" i="2"/>
  <c r="C3006" i="2"/>
  <c r="D3005" i="2"/>
  <c r="C2991" i="2"/>
  <c r="D2990" i="2"/>
  <c r="C2976" i="2"/>
  <c r="D2975" i="2"/>
  <c r="D2960" i="2"/>
  <c r="C2946" i="2"/>
  <c r="D2945" i="2"/>
  <c r="C2931" i="2"/>
  <c r="D2930" i="2"/>
  <c r="C2916" i="2"/>
  <c r="D2915" i="2"/>
  <c r="C2901" i="2"/>
  <c r="D2900" i="2"/>
  <c r="C2886" i="2"/>
  <c r="D2885" i="2"/>
  <c r="C2871" i="2"/>
  <c r="D2870" i="2"/>
  <c r="C2856" i="2"/>
  <c r="D2855" i="2"/>
  <c r="C2841" i="2"/>
  <c r="D2840" i="2"/>
  <c r="C2826" i="2"/>
  <c r="D2825" i="2"/>
  <c r="C2811" i="2"/>
  <c r="D2810" i="2"/>
  <c r="C2796" i="2"/>
  <c r="D2795" i="2"/>
  <c r="C2781" i="2"/>
  <c r="D2780" i="2"/>
  <c r="C2766" i="2"/>
  <c r="D2765" i="2"/>
  <c r="C2751" i="2"/>
  <c r="D2750" i="2"/>
  <c r="C2736" i="2"/>
  <c r="D2735" i="2"/>
  <c r="C2721" i="2"/>
  <c r="D2720" i="2"/>
  <c r="C2706" i="2"/>
  <c r="D2705" i="2"/>
  <c r="C2691" i="2"/>
  <c r="D2690" i="2"/>
  <c r="C2676" i="2"/>
  <c r="D2675" i="2"/>
  <c r="C2661" i="2"/>
  <c r="D2660" i="2"/>
  <c r="C2646" i="2"/>
  <c r="D2645" i="2"/>
  <c r="C2631" i="2"/>
  <c r="D2630" i="2"/>
  <c r="C2616" i="2"/>
  <c r="D2615" i="2"/>
  <c r="C2601" i="2"/>
  <c r="D2600" i="2"/>
  <c r="C2586" i="2"/>
  <c r="D2585" i="2"/>
  <c r="C2571" i="2"/>
  <c r="D2570" i="2"/>
  <c r="C2556" i="2"/>
  <c r="D2555" i="2"/>
  <c r="C2541" i="2"/>
  <c r="D2540" i="2"/>
  <c r="C2526" i="2"/>
  <c r="D2525" i="2"/>
  <c r="C2511" i="2"/>
  <c r="D2510" i="2"/>
  <c r="C2496" i="2"/>
  <c r="D2495" i="2"/>
  <c r="C2481" i="2"/>
  <c r="D2480" i="2"/>
  <c r="C2466" i="2"/>
  <c r="D2465" i="2"/>
  <c r="C2451" i="2"/>
  <c r="D2450" i="2"/>
  <c r="C2436" i="2"/>
  <c r="D2435" i="2"/>
  <c r="C2421" i="2"/>
  <c r="D2420" i="2"/>
  <c r="C2406" i="2"/>
  <c r="D2405" i="2"/>
  <c r="C2391" i="2"/>
  <c r="D2390" i="2"/>
  <c r="C2376" i="2"/>
  <c r="D2375" i="2"/>
  <c r="C2361" i="2"/>
  <c r="D2360" i="2"/>
  <c r="C2346" i="2"/>
  <c r="D2345" i="2"/>
  <c r="C2331" i="2"/>
  <c r="D2330" i="2"/>
  <c r="C2316" i="2"/>
  <c r="D2315" i="2"/>
  <c r="C2301" i="2"/>
  <c r="D2300" i="2"/>
  <c r="C2286" i="2"/>
  <c r="D2285" i="2"/>
  <c r="C2271" i="2"/>
  <c r="D2270" i="2"/>
  <c r="C2256" i="2"/>
  <c r="D2255" i="2"/>
  <c r="C2241" i="2"/>
  <c r="D2240" i="2"/>
  <c r="C2226" i="2"/>
  <c r="D2225" i="2"/>
  <c r="C2211" i="2"/>
  <c r="D2210" i="2"/>
  <c r="C2196" i="2"/>
  <c r="D2195" i="2"/>
  <c r="C2181" i="2"/>
  <c r="D2180" i="2"/>
  <c r="C2166" i="2"/>
  <c r="D2165" i="2"/>
  <c r="C2151" i="2"/>
  <c r="D2150" i="2"/>
  <c r="C2136" i="2"/>
  <c r="D2135" i="2"/>
  <c r="C2121" i="2"/>
  <c r="D2120" i="2"/>
  <c r="C2106" i="2"/>
  <c r="D2105" i="2"/>
  <c r="C2091" i="2"/>
  <c r="D2090" i="2"/>
  <c r="C2076" i="2"/>
  <c r="D2075" i="2"/>
  <c r="C2061" i="2"/>
  <c r="D2060" i="2"/>
  <c r="C2046" i="2"/>
  <c r="D2045" i="2"/>
  <c r="C2031" i="2"/>
  <c r="D2030" i="2"/>
  <c r="C2016" i="2"/>
  <c r="D2015" i="2"/>
  <c r="C2001" i="2"/>
  <c r="D2000" i="2"/>
  <c r="C1986" i="2"/>
  <c r="D1985" i="2"/>
  <c r="C1971" i="2"/>
  <c r="D1970" i="2"/>
  <c r="C1956" i="2"/>
  <c r="D1955" i="2"/>
  <c r="C1941" i="2"/>
  <c r="D1940" i="2"/>
  <c r="C1926" i="2"/>
  <c r="D1925" i="2"/>
  <c r="C1911" i="2"/>
  <c r="D1910" i="2"/>
  <c r="C1896" i="2"/>
  <c r="D1895" i="2"/>
  <c r="C1881" i="2"/>
  <c r="D1880" i="2"/>
  <c r="C1866" i="2"/>
  <c r="D1865" i="2"/>
  <c r="C1851" i="2"/>
  <c r="D1850" i="2"/>
  <c r="C1836" i="2"/>
  <c r="D1835" i="2"/>
  <c r="C1821" i="2"/>
  <c r="D1820" i="2"/>
  <c r="C1806" i="2"/>
  <c r="D1805" i="2"/>
  <c r="C1791" i="2"/>
  <c r="D1790" i="2"/>
  <c r="C1776" i="2"/>
  <c r="D1775" i="2"/>
  <c r="C1761" i="2"/>
  <c r="D1760" i="2"/>
  <c r="C1746" i="2"/>
  <c r="D1745" i="2"/>
  <c r="C1731" i="2"/>
  <c r="D1730" i="2"/>
  <c r="C1716" i="2"/>
  <c r="D1715" i="2"/>
  <c r="C1701" i="2"/>
  <c r="D1700" i="2"/>
  <c r="C1686" i="2"/>
  <c r="D1685" i="2"/>
  <c r="C1671" i="2"/>
  <c r="D1670" i="2"/>
  <c r="C1656" i="2"/>
  <c r="D1655" i="2"/>
  <c r="C1641" i="2"/>
  <c r="D1640" i="2"/>
  <c r="C1626" i="2"/>
  <c r="D1625" i="2"/>
  <c r="C1611" i="2"/>
  <c r="D1610" i="2"/>
  <c r="C1596" i="2"/>
  <c r="D1595" i="2"/>
  <c r="D1580" i="2"/>
  <c r="D1565" i="2"/>
  <c r="C1551" i="2"/>
  <c r="D1550" i="2"/>
  <c r="C1536" i="2"/>
  <c r="D1535" i="2"/>
  <c r="C1521" i="2"/>
  <c r="D1520" i="2"/>
  <c r="C1506" i="2"/>
  <c r="D1505" i="2"/>
  <c r="C1491" i="2"/>
  <c r="D1490" i="2"/>
  <c r="C1476" i="2"/>
  <c r="D1475" i="2"/>
  <c r="C1461" i="2"/>
  <c r="D1460" i="2"/>
  <c r="C1446" i="2"/>
  <c r="D1445" i="2"/>
  <c r="C1431" i="2"/>
  <c r="D1430" i="2"/>
  <c r="C1416" i="2"/>
  <c r="D1415" i="2"/>
  <c r="C1401" i="2"/>
  <c r="D1400" i="2"/>
  <c r="C1386" i="2"/>
  <c r="D1385" i="2"/>
  <c r="C1371" i="2"/>
  <c r="D1370" i="2"/>
  <c r="C1356" i="2"/>
  <c r="D1355" i="2"/>
  <c r="C1341" i="2"/>
  <c r="D1340" i="2"/>
  <c r="C1326" i="2"/>
  <c r="D1325" i="2"/>
  <c r="C1311" i="2"/>
  <c r="D1310" i="2"/>
  <c r="C1296" i="2"/>
  <c r="D1295" i="2"/>
  <c r="C1281" i="2"/>
  <c r="D1280" i="2"/>
  <c r="C1266" i="2"/>
  <c r="D1265" i="2"/>
  <c r="C1251" i="2"/>
  <c r="D1250" i="2"/>
  <c r="C1236" i="2"/>
  <c r="D1235" i="2"/>
  <c r="C1221" i="2"/>
  <c r="D1220" i="2"/>
  <c r="C1206" i="2"/>
  <c r="D1205" i="2"/>
  <c r="C1191" i="2"/>
  <c r="D1190" i="2"/>
  <c r="C1176" i="2"/>
  <c r="D1175" i="2"/>
  <c r="C1161" i="2"/>
  <c r="D1160" i="2"/>
  <c r="C1146" i="2"/>
  <c r="D1145" i="2"/>
  <c r="C1131" i="2"/>
  <c r="D1130" i="2"/>
  <c r="C1116" i="2"/>
  <c r="D1115" i="2"/>
  <c r="C1101" i="2"/>
  <c r="D1100" i="2"/>
  <c r="C1086" i="2"/>
  <c r="D1085" i="2"/>
  <c r="C1071" i="2"/>
  <c r="D1070" i="2"/>
  <c r="C1056" i="2"/>
  <c r="D1055" i="2"/>
  <c r="C1041" i="2"/>
  <c r="D1040" i="2"/>
  <c r="C1026" i="2"/>
  <c r="D1025" i="2"/>
  <c r="C1011" i="2"/>
  <c r="D1010" i="2"/>
  <c r="C996" i="2"/>
  <c r="D995" i="2"/>
  <c r="D980" i="2"/>
  <c r="D965" i="2"/>
  <c r="C951" i="2"/>
  <c r="D950" i="2"/>
  <c r="C936" i="2"/>
  <c r="D935" i="2"/>
  <c r="C921" i="2"/>
  <c r="D920" i="2"/>
  <c r="C906" i="2"/>
  <c r="D905" i="2"/>
  <c r="C891" i="2"/>
  <c r="D890" i="2"/>
  <c r="C876" i="2"/>
  <c r="D875" i="2"/>
  <c r="C861" i="2"/>
  <c r="D860" i="2"/>
  <c r="C846" i="2"/>
  <c r="D845" i="2"/>
  <c r="D830" i="2"/>
  <c r="D815" i="2"/>
  <c r="C801" i="2"/>
  <c r="D800" i="2"/>
  <c r="C786" i="2"/>
  <c r="D785" i="2"/>
  <c r="C771" i="2"/>
  <c r="D770" i="2"/>
  <c r="C756" i="2"/>
  <c r="D755" i="2"/>
  <c r="C741" i="2"/>
  <c r="D740" i="2"/>
  <c r="C726" i="2"/>
  <c r="D725" i="2"/>
  <c r="C711" i="2"/>
  <c r="D710" i="2"/>
  <c r="C696" i="2"/>
  <c r="D695" i="2"/>
  <c r="C681" i="2"/>
  <c r="D680" i="2"/>
  <c r="C666" i="2"/>
  <c r="D665" i="2"/>
  <c r="C651" i="2"/>
  <c r="D650" i="2"/>
  <c r="C636" i="2"/>
  <c r="D635" i="2"/>
  <c r="C621" i="2"/>
  <c r="D620" i="2"/>
  <c r="C606" i="2"/>
  <c r="D605" i="2"/>
  <c r="C591" i="2"/>
  <c r="D590" i="2"/>
  <c r="C576" i="2"/>
  <c r="D575" i="2"/>
  <c r="C561" i="2"/>
  <c r="D560" i="2"/>
  <c r="C546" i="2"/>
  <c r="D545" i="2"/>
  <c r="C531" i="2"/>
  <c r="D530" i="2"/>
  <c r="C516" i="2"/>
  <c r="D515" i="2"/>
  <c r="C501" i="2"/>
  <c r="D500" i="2"/>
  <c r="C486" i="2"/>
  <c r="D485" i="2"/>
  <c r="C471" i="2"/>
  <c r="D470" i="2"/>
  <c r="C456" i="2"/>
  <c r="D455" i="2"/>
  <c r="C441" i="2"/>
  <c r="D440" i="2"/>
  <c r="C426" i="2"/>
  <c r="D425" i="2"/>
  <c r="C411" i="2"/>
  <c r="D410" i="2"/>
  <c r="C396" i="2"/>
  <c r="D395" i="2"/>
  <c r="C381" i="2"/>
  <c r="D380" i="2"/>
  <c r="C366" i="2"/>
  <c r="D365" i="2"/>
  <c r="C351" i="2"/>
  <c r="D350" i="2"/>
  <c r="C336" i="2"/>
  <c r="D335" i="2"/>
  <c r="C321" i="2"/>
  <c r="D320" i="2"/>
  <c r="C306" i="2"/>
  <c r="D305" i="2"/>
  <c r="C291" i="2"/>
  <c r="D290" i="2"/>
  <c r="C276" i="2"/>
  <c r="D275" i="2"/>
  <c r="C261" i="2"/>
  <c r="D260" i="2"/>
  <c r="C246" i="2"/>
  <c r="D245" i="2"/>
  <c r="C231" i="2"/>
  <c r="D230" i="2"/>
  <c r="C216" i="2"/>
  <c r="D215" i="2"/>
  <c r="C201" i="2"/>
  <c r="D200" i="2"/>
  <c r="C186" i="2"/>
  <c r="D185" i="2"/>
  <c r="C171" i="2"/>
  <c r="D170" i="2"/>
  <c r="C156" i="2"/>
  <c r="D155" i="2"/>
  <c r="C141" i="2"/>
  <c r="D140" i="2"/>
  <c r="C126" i="2"/>
  <c r="D125" i="2"/>
  <c r="C111" i="2"/>
  <c r="D110" i="2"/>
  <c r="C96" i="2"/>
  <c r="D95" i="2"/>
  <c r="C81" i="2"/>
  <c r="D80" i="2"/>
  <c r="C66" i="2"/>
  <c r="D65" i="2"/>
  <c r="C51" i="2"/>
  <c r="D50" i="2"/>
  <c r="C36" i="2"/>
  <c r="D35" i="2"/>
  <c r="C21" i="2"/>
  <c r="D20" i="2"/>
  <c r="O4901" i="2"/>
  <c r="N4901" i="2" s="1"/>
  <c r="N4902" i="2" s="1"/>
  <c r="O4900" i="2"/>
  <c r="M4897" i="2"/>
  <c r="L4894" i="2"/>
  <c r="O4886" i="2"/>
  <c r="N4886" i="2"/>
  <c r="N4887" i="2" s="1"/>
  <c r="O4885" i="2"/>
  <c r="M4882" i="2"/>
  <c r="L4879" i="2"/>
  <c r="O4871" i="2"/>
  <c r="N4871" i="2" s="1"/>
  <c r="N4872" i="2" s="1"/>
  <c r="O4870" i="2"/>
  <c r="M4867" i="2"/>
  <c r="L4864" i="2"/>
  <c r="O4856" i="2"/>
  <c r="N4856" i="2" s="1"/>
  <c r="N4857" i="2" s="1"/>
  <c r="O4855" i="2"/>
  <c r="L4849" i="2"/>
  <c r="O4841" i="2"/>
  <c r="N4841" i="2" s="1"/>
  <c r="N4842" i="2" s="1"/>
  <c r="O4840" i="2"/>
  <c r="O4826" i="2"/>
  <c r="N4826" i="2"/>
  <c r="N4827" i="2" s="1"/>
  <c r="O4825" i="2"/>
  <c r="O4811" i="2"/>
  <c r="N4811" i="2" s="1"/>
  <c r="N4812" i="2" s="1"/>
  <c r="O4810" i="2"/>
  <c r="O4796" i="2"/>
  <c r="N4796" i="2" s="1"/>
  <c r="N4797" i="2" s="1"/>
  <c r="O4795" i="2"/>
  <c r="O4781" i="2"/>
  <c r="N4781" i="2" s="1"/>
  <c r="N4782" i="2" s="1"/>
  <c r="O4780" i="2"/>
  <c r="O4766" i="2"/>
  <c r="N4766" i="2"/>
  <c r="N4767" i="2" s="1"/>
  <c r="O4765" i="2"/>
  <c r="O4751" i="2"/>
  <c r="N4751" i="2" s="1"/>
  <c r="N4752" i="2" s="1"/>
  <c r="O4750" i="2"/>
  <c r="O4736" i="2"/>
  <c r="N4736" i="2" s="1"/>
  <c r="N4737" i="2" s="1"/>
  <c r="O4735" i="2"/>
  <c r="O4721" i="2"/>
  <c r="N4721" i="2"/>
  <c r="N4722" i="2" s="1"/>
  <c r="O4720" i="2"/>
  <c r="O4706" i="2"/>
  <c r="N4706" i="2" s="1"/>
  <c r="N4707" i="2" s="1"/>
  <c r="O4705" i="2"/>
  <c r="O4691" i="2"/>
  <c r="N4691" i="2" s="1"/>
  <c r="N4692" i="2" s="1"/>
  <c r="O4690" i="2"/>
  <c r="O4676" i="2"/>
  <c r="N4676" i="2" s="1"/>
  <c r="N4677" i="2" s="1"/>
  <c r="O4675" i="2"/>
  <c r="O4661" i="2"/>
  <c r="N4661" i="2" s="1"/>
  <c r="N4662" i="2" s="1"/>
  <c r="O4660" i="2"/>
  <c r="O4646" i="2"/>
  <c r="N4646" i="2" s="1"/>
  <c r="N4647" i="2" s="1"/>
  <c r="O4645" i="2"/>
  <c r="O4631" i="2"/>
  <c r="N4631" i="2" s="1"/>
  <c r="N4632" i="2" s="1"/>
  <c r="O4630" i="2"/>
  <c r="O4616" i="2"/>
  <c r="N4616" i="2" s="1"/>
  <c r="N4617" i="2" s="1"/>
  <c r="O4615" i="2"/>
  <c r="O4601" i="2"/>
  <c r="N4601" i="2" s="1"/>
  <c r="N4602" i="2" s="1"/>
  <c r="O4600" i="2"/>
  <c r="O4586" i="2"/>
  <c r="N4586" i="2" s="1"/>
  <c r="N4587" i="2" s="1"/>
  <c r="O4585" i="2"/>
  <c r="O4571" i="2"/>
  <c r="N4571" i="2" s="1"/>
  <c r="N4572" i="2" s="1"/>
  <c r="O4570" i="2"/>
  <c r="O4556" i="2"/>
  <c r="N4556" i="2" s="1"/>
  <c r="N4557" i="2" s="1"/>
  <c r="O4555" i="2"/>
  <c r="O4541" i="2"/>
  <c r="N4541" i="2" s="1"/>
  <c r="N4542" i="2" s="1"/>
  <c r="O4540" i="2"/>
  <c r="O4526" i="2"/>
  <c r="N4526" i="2" s="1"/>
  <c r="N4527" i="2" s="1"/>
  <c r="O4525" i="2"/>
  <c r="O4511" i="2"/>
  <c r="N4511" i="2" s="1"/>
  <c r="N4512" i="2" s="1"/>
  <c r="O4510" i="2"/>
  <c r="O4496" i="2"/>
  <c r="N4496" i="2" s="1"/>
  <c r="N4497" i="2" s="1"/>
  <c r="O4495" i="2"/>
  <c r="O4481" i="2"/>
  <c r="N4481" i="2" s="1"/>
  <c r="N4482" i="2" s="1"/>
  <c r="O4480" i="2"/>
  <c r="O4466" i="2"/>
  <c r="N4466" i="2" s="1"/>
  <c r="N4467" i="2" s="1"/>
  <c r="O4465" i="2"/>
  <c r="O4451" i="2"/>
  <c r="N4451" i="2"/>
  <c r="N4452" i="2" s="1"/>
  <c r="O4450" i="2"/>
  <c r="O4436" i="2"/>
  <c r="N4436" i="2" s="1"/>
  <c r="N4437" i="2" s="1"/>
  <c r="O4435" i="2"/>
  <c r="O4421" i="2"/>
  <c r="N4421" i="2" s="1"/>
  <c r="N4422" i="2" s="1"/>
  <c r="O4420" i="2"/>
  <c r="O4406" i="2"/>
  <c r="N4406" i="2"/>
  <c r="N4407" i="2" s="1"/>
  <c r="O4405" i="2"/>
  <c r="O4391" i="2"/>
  <c r="N4391" i="2" s="1"/>
  <c r="N4392" i="2" s="1"/>
  <c r="O4390" i="2"/>
  <c r="O4376" i="2"/>
  <c r="N4376" i="2" s="1"/>
  <c r="N4377" i="2" s="1"/>
  <c r="O4375" i="2"/>
  <c r="O4361" i="2"/>
  <c r="N4361" i="2" s="1"/>
  <c r="N4362" i="2" s="1"/>
  <c r="O4360" i="2"/>
  <c r="O4346" i="2"/>
  <c r="N4346" i="2"/>
  <c r="N4347" i="2" s="1"/>
  <c r="O4345" i="2"/>
  <c r="O4331" i="2"/>
  <c r="N4331" i="2" s="1"/>
  <c r="N4332" i="2" s="1"/>
  <c r="O4330" i="2"/>
  <c r="O4316" i="2"/>
  <c r="N4316" i="2" s="1"/>
  <c r="N4317" i="2" s="1"/>
  <c r="O4315" i="2"/>
  <c r="O4301" i="2"/>
  <c r="N4301" i="2" s="1"/>
  <c r="N4302" i="2" s="1"/>
  <c r="O4300" i="2"/>
  <c r="O4286" i="2"/>
  <c r="N4286" i="2" s="1"/>
  <c r="N4287" i="2" s="1"/>
  <c r="O4285" i="2"/>
  <c r="O4271" i="2"/>
  <c r="N4271" i="2" s="1"/>
  <c r="N4272" i="2" s="1"/>
  <c r="O4270" i="2"/>
  <c r="O4256" i="2"/>
  <c r="N4256" i="2" s="1"/>
  <c r="N4257" i="2" s="1"/>
  <c r="O4255" i="2"/>
  <c r="O4241" i="2"/>
  <c r="N4241" i="2"/>
  <c r="N4242" i="2" s="1"/>
  <c r="O4240" i="2"/>
  <c r="O4226" i="2"/>
  <c r="N4226" i="2" s="1"/>
  <c r="N4227" i="2" s="1"/>
  <c r="O4225" i="2"/>
  <c r="O4211" i="2"/>
  <c r="N4211" i="2" s="1"/>
  <c r="N4212" i="2" s="1"/>
  <c r="O4210" i="2"/>
  <c r="O4196" i="2"/>
  <c r="N4196" i="2" s="1"/>
  <c r="N4197" i="2" s="1"/>
  <c r="O4195" i="2"/>
  <c r="O4181" i="2"/>
  <c r="N4181" i="2" s="1"/>
  <c r="N4182" i="2" s="1"/>
  <c r="O4180" i="2"/>
  <c r="O4166" i="2"/>
  <c r="N4166" i="2" s="1"/>
  <c r="N4167" i="2" s="1"/>
  <c r="O4165" i="2"/>
  <c r="O4151" i="2"/>
  <c r="N4151" i="2" s="1"/>
  <c r="N4152" i="2" s="1"/>
  <c r="O4150" i="2"/>
  <c r="O4136" i="2"/>
  <c r="N4136" i="2" s="1"/>
  <c r="N4137" i="2" s="1"/>
  <c r="O4135" i="2"/>
  <c r="O4121" i="2"/>
  <c r="N4121" i="2" s="1"/>
  <c r="N4122" i="2" s="1"/>
  <c r="O4120" i="2"/>
  <c r="O4106" i="2"/>
  <c r="N4106" i="2" s="1"/>
  <c r="N4107" i="2" s="1"/>
  <c r="O4105" i="2"/>
  <c r="O4091" i="2"/>
  <c r="N4091" i="2" s="1"/>
  <c r="N4092" i="2" s="1"/>
  <c r="O4090" i="2"/>
  <c r="O4076" i="2"/>
  <c r="N4076" i="2" s="1"/>
  <c r="N4077" i="2" s="1"/>
  <c r="O4075" i="2"/>
  <c r="O4061" i="2"/>
  <c r="N4061" i="2" s="1"/>
  <c r="N4062" i="2" s="1"/>
  <c r="O4060" i="2"/>
  <c r="O4046" i="2"/>
  <c r="N4046" i="2" s="1"/>
  <c r="N4047" i="2" s="1"/>
  <c r="O4045" i="2"/>
  <c r="O4031" i="2"/>
  <c r="N4031" i="2" s="1"/>
  <c r="N4032" i="2" s="1"/>
  <c r="O4030" i="2"/>
  <c r="O4016" i="2"/>
  <c r="N4016" i="2" s="1"/>
  <c r="N4017" i="2" s="1"/>
  <c r="O4015" i="2"/>
  <c r="O4001" i="2"/>
  <c r="N4001" i="2" s="1"/>
  <c r="N4002" i="2" s="1"/>
  <c r="O4000" i="2"/>
  <c r="O3986" i="2"/>
  <c r="N3986" i="2" s="1"/>
  <c r="N3987" i="2" s="1"/>
  <c r="O3985" i="2"/>
  <c r="O3971" i="2"/>
  <c r="N3971" i="2"/>
  <c r="N3972" i="2" s="1"/>
  <c r="O3970" i="2"/>
  <c r="O3956" i="2"/>
  <c r="N3956" i="2" s="1"/>
  <c r="N3957" i="2" s="1"/>
  <c r="O3955" i="2"/>
  <c r="O3941" i="2"/>
  <c r="N3941" i="2" s="1"/>
  <c r="N3942" i="2" s="1"/>
  <c r="O3940" i="2"/>
  <c r="O3926" i="2"/>
  <c r="N3926" i="2" s="1"/>
  <c r="N3927" i="2" s="1"/>
  <c r="O3925" i="2"/>
  <c r="O3911" i="2"/>
  <c r="N3911" i="2"/>
  <c r="N3912" i="2" s="1"/>
  <c r="O3910" i="2"/>
  <c r="O3896" i="2"/>
  <c r="N3896" i="2" s="1"/>
  <c r="N3897" i="2" s="1"/>
  <c r="O3895" i="2"/>
  <c r="O3881" i="2"/>
  <c r="N3881" i="2" s="1"/>
  <c r="N3882" i="2" s="1"/>
  <c r="O3880" i="2"/>
  <c r="O3866" i="2"/>
  <c r="N3866" i="2" s="1"/>
  <c r="N3867" i="2" s="1"/>
  <c r="O3865" i="2"/>
  <c r="O3851" i="2"/>
  <c r="N3851" i="2" s="1"/>
  <c r="N3852" i="2" s="1"/>
  <c r="O3850" i="2"/>
  <c r="O3836" i="2"/>
  <c r="N3836" i="2" s="1"/>
  <c r="N3837" i="2" s="1"/>
  <c r="O3835" i="2"/>
  <c r="O3821" i="2"/>
  <c r="N3821" i="2" s="1"/>
  <c r="N3822" i="2" s="1"/>
  <c r="O3820" i="2"/>
  <c r="O3806" i="2"/>
  <c r="N3806" i="2"/>
  <c r="N3807" i="2" s="1"/>
  <c r="O3805" i="2"/>
  <c r="O3791" i="2"/>
  <c r="N3791" i="2"/>
  <c r="N3792" i="2" s="1"/>
  <c r="O3790" i="2"/>
  <c r="O3776" i="2"/>
  <c r="N3776" i="2"/>
  <c r="N3777" i="2" s="1"/>
  <c r="O3775" i="2"/>
  <c r="O3761" i="2"/>
  <c r="N3761" i="2" s="1"/>
  <c r="N3762" i="2" s="1"/>
  <c r="O3760" i="2"/>
  <c r="O3746" i="2"/>
  <c r="N3746" i="2" s="1"/>
  <c r="N3747" i="2" s="1"/>
  <c r="O3745" i="2"/>
  <c r="O3731" i="2"/>
  <c r="N3731" i="2"/>
  <c r="N3732" i="2" s="1"/>
  <c r="O3730" i="2"/>
  <c r="O3716" i="2"/>
  <c r="N3716" i="2" s="1"/>
  <c r="N3717" i="2" s="1"/>
  <c r="O3715" i="2"/>
  <c r="O3701" i="2"/>
  <c r="N3701" i="2" s="1"/>
  <c r="N3702" i="2" s="1"/>
  <c r="O3700" i="2"/>
  <c r="O3686" i="2"/>
  <c r="N3686" i="2" s="1"/>
  <c r="N3687" i="2" s="1"/>
  <c r="O3685" i="2"/>
  <c r="O3671" i="2"/>
  <c r="N3671" i="2" s="1"/>
  <c r="N3672" i="2" s="1"/>
  <c r="O3670" i="2"/>
  <c r="O3656" i="2"/>
  <c r="N3656" i="2" s="1"/>
  <c r="N3657" i="2" s="1"/>
  <c r="O3655" i="2"/>
  <c r="O3641" i="2"/>
  <c r="N3641" i="2" s="1"/>
  <c r="N3642" i="2" s="1"/>
  <c r="O3640" i="2"/>
  <c r="O3626" i="2"/>
  <c r="N3626" i="2" s="1"/>
  <c r="N3627" i="2" s="1"/>
  <c r="O3625" i="2"/>
  <c r="O3611" i="2"/>
  <c r="N3611" i="2" s="1"/>
  <c r="N3612" i="2" s="1"/>
  <c r="O3610" i="2"/>
  <c r="O3596" i="2"/>
  <c r="N3596" i="2" s="1"/>
  <c r="N3597" i="2" s="1"/>
  <c r="O3595" i="2"/>
  <c r="O3581" i="2"/>
  <c r="N3581" i="2" s="1"/>
  <c r="N3582" i="2" s="1"/>
  <c r="O3580" i="2"/>
  <c r="O3566" i="2"/>
  <c r="N3566" i="2" s="1"/>
  <c r="N3567" i="2" s="1"/>
  <c r="O3565" i="2"/>
  <c r="O3551" i="2"/>
  <c r="N3551" i="2" s="1"/>
  <c r="N3552" i="2" s="1"/>
  <c r="O3550" i="2"/>
  <c r="O3536" i="2"/>
  <c r="N3536" i="2" s="1"/>
  <c r="N3537" i="2" s="1"/>
  <c r="O3535" i="2"/>
  <c r="O3521" i="2"/>
  <c r="N3521" i="2"/>
  <c r="N3522" i="2" s="1"/>
  <c r="O3520" i="2"/>
  <c r="O3506" i="2"/>
  <c r="N3506" i="2"/>
  <c r="N3507" i="2" s="1"/>
  <c r="O3505" i="2"/>
  <c r="O3491" i="2"/>
  <c r="N3491" i="2" s="1"/>
  <c r="N3492" i="2" s="1"/>
  <c r="O3490" i="2"/>
  <c r="O3476" i="2"/>
  <c r="N3476" i="2" s="1"/>
  <c r="N3477" i="2" s="1"/>
  <c r="O3475" i="2"/>
  <c r="O3461" i="2"/>
  <c r="N3461" i="2"/>
  <c r="N3462" i="2" s="1"/>
  <c r="O3460" i="2"/>
  <c r="O3446" i="2"/>
  <c r="N3446" i="2" s="1"/>
  <c r="N3447" i="2" s="1"/>
  <c r="O3445" i="2"/>
  <c r="O3431" i="2"/>
  <c r="N3431" i="2"/>
  <c r="N3432" i="2" s="1"/>
  <c r="O3430" i="2"/>
  <c r="O3416" i="2"/>
  <c r="N3416" i="2"/>
  <c r="N3417" i="2" s="1"/>
  <c r="O3415" i="2"/>
  <c r="O3401" i="2"/>
  <c r="N3401" i="2" s="1"/>
  <c r="N3402" i="2" s="1"/>
  <c r="O3400" i="2"/>
  <c r="O3386" i="2"/>
  <c r="N3386" i="2" s="1"/>
  <c r="N3387" i="2" s="1"/>
  <c r="O3385" i="2"/>
  <c r="O3371" i="2"/>
  <c r="N3371" i="2" s="1"/>
  <c r="N3372" i="2" s="1"/>
  <c r="O3370" i="2"/>
  <c r="O3356" i="2"/>
  <c r="N3356" i="2" s="1"/>
  <c r="N3357" i="2" s="1"/>
  <c r="O3355" i="2"/>
  <c r="O3341" i="2"/>
  <c r="N3341" i="2" s="1"/>
  <c r="N3342" i="2" s="1"/>
  <c r="O3340" i="2"/>
  <c r="O3326" i="2"/>
  <c r="N3326" i="2" s="1"/>
  <c r="N3327" i="2" s="1"/>
  <c r="O3325" i="2"/>
  <c r="O3311" i="2"/>
  <c r="N3311" i="2" s="1"/>
  <c r="N3312" i="2" s="1"/>
  <c r="O3310" i="2"/>
  <c r="O3296" i="2"/>
  <c r="N3296" i="2" s="1"/>
  <c r="N3297" i="2" s="1"/>
  <c r="O3295" i="2"/>
  <c r="O3281" i="2"/>
  <c r="N3281" i="2" s="1"/>
  <c r="N3282" i="2" s="1"/>
  <c r="O3280" i="2"/>
  <c r="O3266" i="2"/>
  <c r="N3266" i="2"/>
  <c r="N3267" i="2" s="1"/>
  <c r="O3265" i="2"/>
  <c r="O3251" i="2"/>
  <c r="N3251" i="2" s="1"/>
  <c r="N3252" i="2" s="1"/>
  <c r="O3250" i="2"/>
  <c r="O3236" i="2"/>
  <c r="N3236" i="2" s="1"/>
  <c r="N3237" i="2" s="1"/>
  <c r="O3235" i="2"/>
  <c r="O3221" i="2"/>
  <c r="N3221" i="2"/>
  <c r="N3222" i="2" s="1"/>
  <c r="O3220" i="2"/>
  <c r="O3206" i="2"/>
  <c r="N3206" i="2" s="1"/>
  <c r="N3207" i="2" s="1"/>
  <c r="O3205" i="2"/>
  <c r="O3191" i="2"/>
  <c r="N3191" i="2" s="1"/>
  <c r="N3192" i="2" s="1"/>
  <c r="O3190" i="2"/>
  <c r="O3176" i="2"/>
  <c r="N3176" i="2" s="1"/>
  <c r="N3177" i="2" s="1"/>
  <c r="O3175" i="2"/>
  <c r="O3161" i="2"/>
  <c r="N3161" i="2" s="1"/>
  <c r="N3162" i="2" s="1"/>
  <c r="O3160" i="2"/>
  <c r="O3146" i="2"/>
  <c r="N3146" i="2" s="1"/>
  <c r="N3147" i="2" s="1"/>
  <c r="O3145" i="2"/>
  <c r="O3131" i="2"/>
  <c r="N3131" i="2"/>
  <c r="N3132" i="2" s="1"/>
  <c r="O3130" i="2"/>
  <c r="O3116" i="2"/>
  <c r="N3116" i="2" s="1"/>
  <c r="N3117" i="2" s="1"/>
  <c r="O3115" i="2"/>
  <c r="O3101" i="2"/>
  <c r="N3101" i="2" s="1"/>
  <c r="N3102" i="2" s="1"/>
  <c r="O3100" i="2"/>
  <c r="O3086" i="2"/>
  <c r="N3086" i="2" s="1"/>
  <c r="N3087" i="2" s="1"/>
  <c r="O3085" i="2"/>
  <c r="O3071" i="2"/>
  <c r="N3071" i="2"/>
  <c r="N3072" i="2" s="1"/>
  <c r="O3070" i="2"/>
  <c r="O3056" i="2"/>
  <c r="N3056" i="2" s="1"/>
  <c r="N3057" i="2" s="1"/>
  <c r="O3055" i="2"/>
  <c r="O3041" i="2"/>
  <c r="N3041" i="2" s="1"/>
  <c r="N3042" i="2" s="1"/>
  <c r="O3040" i="2"/>
  <c r="O3026" i="2"/>
  <c r="N3026" i="2" s="1"/>
  <c r="N3027" i="2" s="1"/>
  <c r="O3025" i="2"/>
  <c r="O3011" i="2"/>
  <c r="N3011" i="2" s="1"/>
  <c r="N3012" i="2" s="1"/>
  <c r="O3010" i="2"/>
  <c r="O2996" i="2"/>
  <c r="N2996" i="2" s="1"/>
  <c r="N2997" i="2" s="1"/>
  <c r="O2995" i="2"/>
  <c r="O2981" i="2"/>
  <c r="N2981" i="2" s="1"/>
  <c r="N2982" i="2" s="1"/>
  <c r="O2980" i="2"/>
  <c r="O2966" i="2"/>
  <c r="N2966" i="2" s="1"/>
  <c r="N2967" i="2" s="1"/>
  <c r="O2965" i="2"/>
  <c r="O2951" i="2"/>
  <c r="N2951" i="2"/>
  <c r="N2952" i="2" s="1"/>
  <c r="O2950" i="2"/>
  <c r="O2936" i="2"/>
  <c r="N2936" i="2" s="1"/>
  <c r="N2937" i="2" s="1"/>
  <c r="O2935" i="2"/>
  <c r="O2921" i="2"/>
  <c r="N2921" i="2" s="1"/>
  <c r="N2922" i="2" s="1"/>
  <c r="O2920" i="2"/>
  <c r="O2906" i="2"/>
  <c r="N2906" i="2"/>
  <c r="N2907" i="2" s="1"/>
  <c r="O2905" i="2"/>
  <c r="O2891" i="2"/>
  <c r="N2891" i="2" s="1"/>
  <c r="N2892" i="2" s="1"/>
  <c r="O2890" i="2"/>
  <c r="O2876" i="2"/>
  <c r="N2876" i="2" s="1"/>
  <c r="N2877" i="2" s="1"/>
  <c r="O2875" i="2"/>
  <c r="O2861" i="2"/>
  <c r="N2861" i="2"/>
  <c r="N2862" i="2" s="1"/>
  <c r="O2860" i="2"/>
  <c r="O2846" i="2"/>
  <c r="N2846" i="2" s="1"/>
  <c r="N2847" i="2" s="1"/>
  <c r="O2845" i="2"/>
  <c r="O2831" i="2"/>
  <c r="N2831" i="2" s="1"/>
  <c r="N2832" i="2" s="1"/>
  <c r="O2830" i="2"/>
  <c r="O2816" i="2"/>
  <c r="N2816" i="2"/>
  <c r="N2817" i="2" s="1"/>
  <c r="O2815" i="2"/>
  <c r="O2801" i="2"/>
  <c r="N2801" i="2" s="1"/>
  <c r="N2802" i="2" s="1"/>
  <c r="O2800" i="2"/>
  <c r="O2786" i="2"/>
  <c r="N2786" i="2"/>
  <c r="N2787" i="2" s="1"/>
  <c r="O2785" i="2"/>
  <c r="O2771" i="2"/>
  <c r="N2771" i="2" s="1"/>
  <c r="N2772" i="2" s="1"/>
  <c r="O2770" i="2"/>
  <c r="O2756" i="2"/>
  <c r="N2756" i="2" s="1"/>
  <c r="N2757" i="2" s="1"/>
  <c r="O2755" i="2"/>
  <c r="O2741" i="2"/>
  <c r="N2741" i="2" s="1"/>
  <c r="N2742" i="2" s="1"/>
  <c r="O2740" i="2"/>
  <c r="O2726" i="2"/>
  <c r="N2726" i="2" s="1"/>
  <c r="N2727" i="2" s="1"/>
  <c r="O2725" i="2"/>
  <c r="O2711" i="2"/>
  <c r="N2711" i="2" s="1"/>
  <c r="N2712" i="2" s="1"/>
  <c r="O2710" i="2"/>
  <c r="O2696" i="2"/>
  <c r="N2696" i="2"/>
  <c r="N2697" i="2" s="1"/>
  <c r="O2695" i="2"/>
  <c r="O2681" i="2"/>
  <c r="N2681" i="2" s="1"/>
  <c r="N2682" i="2" s="1"/>
  <c r="O2680" i="2"/>
  <c r="O2666" i="2"/>
  <c r="N2666" i="2" s="1"/>
  <c r="N2667" i="2" s="1"/>
  <c r="O2665" i="2"/>
  <c r="O2651" i="2"/>
  <c r="N2651" i="2" s="1"/>
  <c r="N2652" i="2" s="1"/>
  <c r="O2650" i="2"/>
  <c r="O2636" i="2"/>
  <c r="N2636" i="2" s="1"/>
  <c r="N2637" i="2" s="1"/>
  <c r="O2635" i="2"/>
  <c r="O2621" i="2"/>
  <c r="N2621" i="2" s="1"/>
  <c r="N2622" i="2" s="1"/>
  <c r="O2620" i="2"/>
  <c r="O2606" i="2"/>
  <c r="N2606" i="2" s="1"/>
  <c r="N2607" i="2" s="1"/>
  <c r="O2605" i="2"/>
  <c r="O2591" i="2"/>
  <c r="N2591" i="2"/>
  <c r="N2592" i="2" s="1"/>
  <c r="O2590" i="2"/>
  <c r="O2576" i="2"/>
  <c r="N2576" i="2" s="1"/>
  <c r="N2577" i="2" s="1"/>
  <c r="O2575" i="2"/>
  <c r="O2561" i="2"/>
  <c r="N2561" i="2" s="1"/>
  <c r="N2562" i="2" s="1"/>
  <c r="O2560" i="2"/>
  <c r="O2546" i="2"/>
  <c r="N2546" i="2" s="1"/>
  <c r="N2547" i="2" s="1"/>
  <c r="O2545" i="2"/>
  <c r="O2531" i="2"/>
  <c r="N2531" i="2" s="1"/>
  <c r="N2532" i="2" s="1"/>
  <c r="O2530" i="2"/>
  <c r="O2516" i="2"/>
  <c r="N2516" i="2"/>
  <c r="N2517" i="2" s="1"/>
  <c r="O2515" i="2"/>
  <c r="O2501" i="2"/>
  <c r="N2501" i="2" s="1"/>
  <c r="N2502" i="2" s="1"/>
  <c r="O2500" i="2"/>
  <c r="O2486" i="2"/>
  <c r="N2486" i="2" s="1"/>
  <c r="N2487" i="2" s="1"/>
  <c r="O2485" i="2"/>
  <c r="O2471" i="2"/>
  <c r="N2471" i="2" s="1"/>
  <c r="N2472" i="2" s="1"/>
  <c r="O2470" i="2"/>
  <c r="O2456" i="2"/>
  <c r="N2456" i="2" s="1"/>
  <c r="N2457" i="2" s="1"/>
  <c r="O2455" i="2"/>
  <c r="O2441" i="2"/>
  <c r="N2441" i="2" s="1"/>
  <c r="N2442" i="2" s="1"/>
  <c r="O2440" i="2"/>
  <c r="O2426" i="2"/>
  <c r="N2426" i="2" s="1"/>
  <c r="N2427" i="2" s="1"/>
  <c r="O2425" i="2"/>
  <c r="O2411" i="2"/>
  <c r="N2411" i="2" s="1"/>
  <c r="N2412" i="2" s="1"/>
  <c r="O2410" i="2"/>
  <c r="O2396" i="2"/>
  <c r="N2396" i="2"/>
  <c r="N2397" i="2" s="1"/>
  <c r="O2395" i="2"/>
  <c r="O2381" i="2"/>
  <c r="N2381" i="2" s="1"/>
  <c r="N2382" i="2" s="1"/>
  <c r="O2380" i="2"/>
  <c r="O2366" i="2"/>
  <c r="N2366" i="2" s="1"/>
  <c r="N2367" i="2" s="1"/>
  <c r="O2365" i="2"/>
  <c r="O2351" i="2"/>
  <c r="N2351" i="2" s="1"/>
  <c r="N2352" i="2" s="1"/>
  <c r="O2350" i="2"/>
  <c r="O2336" i="2"/>
  <c r="N2336" i="2" s="1"/>
  <c r="N2337" i="2" s="1"/>
  <c r="O2335" i="2"/>
  <c r="O2321" i="2"/>
  <c r="N2321" i="2" s="1"/>
  <c r="N2322" i="2" s="1"/>
  <c r="O2320" i="2"/>
  <c r="O2306" i="2"/>
  <c r="N2306" i="2"/>
  <c r="N2307" i="2" s="1"/>
  <c r="O2305" i="2"/>
  <c r="O2291" i="2"/>
  <c r="N2291" i="2" s="1"/>
  <c r="N2292" i="2" s="1"/>
  <c r="O2290" i="2"/>
  <c r="O2276" i="2"/>
  <c r="N2276" i="2" s="1"/>
  <c r="N2277" i="2" s="1"/>
  <c r="O2275" i="2"/>
  <c r="O2261" i="2"/>
  <c r="N2261" i="2" s="1"/>
  <c r="N2262" i="2" s="1"/>
  <c r="O2260" i="2"/>
  <c r="O2246" i="2"/>
  <c r="N2246" i="2" s="1"/>
  <c r="N2247" i="2" s="1"/>
  <c r="O2245" i="2"/>
  <c r="O2231" i="2"/>
  <c r="N2231" i="2" s="1"/>
  <c r="N2232" i="2" s="1"/>
  <c r="O2230" i="2"/>
  <c r="O2216" i="2"/>
  <c r="N2216" i="2" s="1"/>
  <c r="N2217" i="2" s="1"/>
  <c r="O2215" i="2"/>
  <c r="O2201" i="2"/>
  <c r="N2201" i="2" s="1"/>
  <c r="N2202" i="2" s="1"/>
  <c r="O2200" i="2"/>
  <c r="O2186" i="2"/>
  <c r="N2186" i="2" s="1"/>
  <c r="N2187" i="2" s="1"/>
  <c r="O2185" i="2"/>
  <c r="O2171" i="2"/>
  <c r="N2171" i="2" s="1"/>
  <c r="N2172" i="2" s="1"/>
  <c r="O2170" i="2"/>
  <c r="O2156" i="2"/>
  <c r="N2156" i="2" s="1"/>
  <c r="N2157" i="2" s="1"/>
  <c r="O2155" i="2"/>
  <c r="O2141" i="2"/>
  <c r="N2141" i="2" s="1"/>
  <c r="N2142" i="2" s="1"/>
  <c r="O2140" i="2"/>
  <c r="O2126" i="2"/>
  <c r="N2126" i="2" s="1"/>
  <c r="N2127" i="2" s="1"/>
  <c r="O2125" i="2"/>
  <c r="O2111" i="2"/>
  <c r="N2111" i="2"/>
  <c r="N2112" i="2" s="1"/>
  <c r="O2110" i="2"/>
  <c r="O2096" i="2"/>
  <c r="N2096" i="2" s="1"/>
  <c r="N2097" i="2" s="1"/>
  <c r="O2095" i="2"/>
  <c r="O2081" i="2"/>
  <c r="N2081" i="2" s="1"/>
  <c r="N2082" i="2" s="1"/>
  <c r="O2080" i="2"/>
  <c r="O2066" i="2"/>
  <c r="N2066" i="2" s="1"/>
  <c r="N2067" i="2" s="1"/>
  <c r="O2065" i="2"/>
  <c r="O2051" i="2"/>
  <c r="N2051" i="2" s="1"/>
  <c r="N2052" i="2" s="1"/>
  <c r="O2050" i="2"/>
  <c r="O2036" i="2"/>
  <c r="N2036" i="2" s="1"/>
  <c r="N2037" i="2" s="1"/>
  <c r="O2035" i="2"/>
  <c r="O2021" i="2"/>
  <c r="N2021" i="2"/>
  <c r="N2022" i="2" s="1"/>
  <c r="O2020" i="2"/>
  <c r="O2006" i="2"/>
  <c r="N2006" i="2" s="1"/>
  <c r="N2007" i="2" s="1"/>
  <c r="O2005" i="2"/>
  <c r="O1991" i="2"/>
  <c r="N1991" i="2" s="1"/>
  <c r="N1992" i="2" s="1"/>
  <c r="O1990" i="2"/>
  <c r="O1976" i="2"/>
  <c r="N1976" i="2" s="1"/>
  <c r="N1977" i="2" s="1"/>
  <c r="O1975" i="2"/>
  <c r="O1961" i="2"/>
  <c r="N1961" i="2" s="1"/>
  <c r="N1962" i="2" s="1"/>
  <c r="O1960" i="2"/>
  <c r="O1946" i="2"/>
  <c r="N1946" i="2" s="1"/>
  <c r="N1947" i="2" s="1"/>
  <c r="O1945" i="2"/>
  <c r="O1931" i="2"/>
  <c r="N1931" i="2"/>
  <c r="N1932" i="2" s="1"/>
  <c r="O1930" i="2"/>
  <c r="O1916" i="2"/>
  <c r="N1916" i="2" s="1"/>
  <c r="N1917" i="2" s="1"/>
  <c r="O1915" i="2"/>
  <c r="O1901" i="2"/>
  <c r="N1901" i="2" s="1"/>
  <c r="N1902" i="2" s="1"/>
  <c r="O1900" i="2"/>
  <c r="O1886" i="2"/>
  <c r="N1886" i="2"/>
  <c r="N1887" i="2" s="1"/>
  <c r="O1885" i="2"/>
  <c r="O1871" i="2"/>
  <c r="N1871" i="2" s="1"/>
  <c r="N1872" i="2" s="1"/>
  <c r="O1870" i="2"/>
  <c r="O1856" i="2"/>
  <c r="N1856" i="2" s="1"/>
  <c r="N1857" i="2" s="1"/>
  <c r="O1855" i="2"/>
  <c r="O1841" i="2"/>
  <c r="N1841" i="2" s="1"/>
  <c r="N1842" i="2" s="1"/>
  <c r="O1840" i="2"/>
  <c r="O1826" i="2"/>
  <c r="N1826" i="2"/>
  <c r="N1827" i="2" s="1"/>
  <c r="O1825" i="2"/>
  <c r="O1811" i="2"/>
  <c r="N1811" i="2" s="1"/>
  <c r="N1812" i="2" s="1"/>
  <c r="O1810" i="2"/>
  <c r="O1796" i="2"/>
  <c r="N1796" i="2" s="1"/>
  <c r="N1797" i="2" s="1"/>
  <c r="O1795" i="2"/>
  <c r="O1781" i="2"/>
  <c r="N1781" i="2"/>
  <c r="N1782" i="2" s="1"/>
  <c r="O1780" i="2"/>
  <c r="O1766" i="2"/>
  <c r="N1766" i="2" s="1"/>
  <c r="N1767" i="2" s="1"/>
  <c r="O1765" i="2"/>
  <c r="O1751" i="2"/>
  <c r="N1751" i="2" s="1"/>
  <c r="N1752" i="2" s="1"/>
  <c r="O1750" i="2"/>
  <c r="O1736" i="2"/>
  <c r="N1736" i="2" s="1"/>
  <c r="N1737" i="2" s="1"/>
  <c r="O1735" i="2"/>
  <c r="O1721" i="2"/>
  <c r="N1721" i="2" s="1"/>
  <c r="N1722" i="2" s="1"/>
  <c r="O1720" i="2"/>
  <c r="O1706" i="2"/>
  <c r="N1706" i="2" s="1"/>
  <c r="N1707" i="2" s="1"/>
  <c r="O1705" i="2"/>
  <c r="O1691" i="2"/>
  <c r="N1691" i="2" s="1"/>
  <c r="N1692" i="2" s="1"/>
  <c r="O1690" i="2"/>
  <c r="O1676" i="2"/>
  <c r="N1676" i="2"/>
  <c r="N1677" i="2" s="1"/>
  <c r="O1675" i="2"/>
  <c r="O1661" i="2"/>
  <c r="N1661" i="2" s="1"/>
  <c r="N1662" i="2" s="1"/>
  <c r="O1660" i="2"/>
  <c r="O1646" i="2"/>
  <c r="N1646" i="2"/>
  <c r="N1647" i="2" s="1"/>
  <c r="O1645" i="2"/>
  <c r="O1631" i="2"/>
  <c r="N1631" i="2" s="1"/>
  <c r="N1632" i="2" s="1"/>
  <c r="O1630" i="2"/>
  <c r="O1616" i="2"/>
  <c r="N1616" i="2" s="1"/>
  <c r="N1617" i="2" s="1"/>
  <c r="O1615" i="2"/>
  <c r="O1601" i="2"/>
  <c r="N1601" i="2"/>
  <c r="N1602" i="2" s="1"/>
  <c r="O1600" i="2"/>
  <c r="O1586" i="2"/>
  <c r="N1586" i="2" s="1"/>
  <c r="N1587" i="2" s="1"/>
  <c r="O1585" i="2"/>
  <c r="O1571" i="2"/>
  <c r="N1571" i="2" s="1"/>
  <c r="N1572" i="2" s="1"/>
  <c r="O1570" i="2"/>
  <c r="O1556" i="2"/>
  <c r="N1556" i="2" s="1"/>
  <c r="N1557" i="2" s="1"/>
  <c r="O1555" i="2"/>
  <c r="O1541" i="2"/>
  <c r="N1541" i="2"/>
  <c r="N1542" i="2" s="1"/>
  <c r="O1540" i="2"/>
  <c r="O1526" i="2"/>
  <c r="N1526" i="2" s="1"/>
  <c r="N1527" i="2" s="1"/>
  <c r="O1525" i="2"/>
  <c r="O1511" i="2"/>
  <c r="N1511" i="2" s="1"/>
  <c r="N1512" i="2" s="1"/>
  <c r="O1510" i="2"/>
  <c r="O1496" i="2"/>
  <c r="N1496" i="2" s="1"/>
  <c r="N1497" i="2" s="1"/>
  <c r="O1495" i="2"/>
  <c r="O1481" i="2"/>
  <c r="N1481" i="2"/>
  <c r="N1482" i="2" s="1"/>
  <c r="O1480" i="2"/>
  <c r="O1466" i="2"/>
  <c r="N1466" i="2" s="1"/>
  <c r="N1467" i="2" s="1"/>
  <c r="O1465" i="2"/>
  <c r="O1451" i="2"/>
  <c r="N1451" i="2" s="1"/>
  <c r="N1452" i="2" s="1"/>
  <c r="O1450" i="2"/>
  <c r="O1436" i="2"/>
  <c r="N1436" i="2" s="1"/>
  <c r="N1437" i="2" s="1"/>
  <c r="O1435" i="2"/>
  <c r="O1421" i="2"/>
  <c r="N1421" i="2" s="1"/>
  <c r="N1422" i="2" s="1"/>
  <c r="O1420" i="2"/>
  <c r="O1406" i="2"/>
  <c r="N1406" i="2" s="1"/>
  <c r="N1407" i="2" s="1"/>
  <c r="O1405" i="2"/>
  <c r="O1391" i="2"/>
  <c r="N1391" i="2" s="1"/>
  <c r="N1392" i="2" s="1"/>
  <c r="O1390" i="2"/>
  <c r="O1376" i="2"/>
  <c r="N1376" i="2"/>
  <c r="N1377" i="2" s="1"/>
  <c r="O1375" i="2"/>
  <c r="O1361" i="2"/>
  <c r="N1361" i="2" s="1"/>
  <c r="N1362" i="2" s="1"/>
  <c r="O1360" i="2"/>
  <c r="O1346" i="2"/>
  <c r="N1346" i="2" s="1"/>
  <c r="N1347" i="2" s="1"/>
  <c r="O1345" i="2"/>
  <c r="O1331" i="2"/>
  <c r="N1331" i="2" s="1"/>
  <c r="N1332" i="2" s="1"/>
  <c r="O1330" i="2"/>
  <c r="O1316" i="2"/>
  <c r="N1316" i="2" s="1"/>
  <c r="N1317" i="2" s="1"/>
  <c r="O1315" i="2"/>
  <c r="O1301" i="2"/>
  <c r="N1301" i="2" s="1"/>
  <c r="N1302" i="2" s="1"/>
  <c r="O1300" i="2"/>
  <c r="O1286" i="2"/>
  <c r="N1286" i="2" s="1"/>
  <c r="N1287" i="2" s="1"/>
  <c r="O1285" i="2"/>
  <c r="O1271" i="2"/>
  <c r="N1271" i="2" s="1"/>
  <c r="N1272" i="2" s="1"/>
  <c r="O1270" i="2"/>
  <c r="O1256" i="2"/>
  <c r="N1256" i="2" s="1"/>
  <c r="N1257" i="2" s="1"/>
  <c r="O1255" i="2"/>
  <c r="O1241" i="2"/>
  <c r="N1241" i="2"/>
  <c r="N1242" i="2" s="1"/>
  <c r="O1240" i="2"/>
  <c r="O1226" i="2"/>
  <c r="N1226" i="2" s="1"/>
  <c r="N1227" i="2" s="1"/>
  <c r="O1225" i="2"/>
  <c r="O1211" i="2"/>
  <c r="N1211" i="2" s="1"/>
  <c r="N1212" i="2" s="1"/>
  <c r="O1210" i="2"/>
  <c r="O1196" i="2"/>
  <c r="N1196" i="2" s="1"/>
  <c r="N1197" i="2" s="1"/>
  <c r="O1195" i="2"/>
  <c r="O1181" i="2"/>
  <c r="N1181" i="2" s="1"/>
  <c r="N1182" i="2" s="1"/>
  <c r="O1180" i="2"/>
  <c r="O1166" i="2"/>
  <c r="N1166" i="2" s="1"/>
  <c r="N1167" i="2" s="1"/>
  <c r="O1165" i="2"/>
  <c r="O1151" i="2"/>
  <c r="N1151" i="2" s="1"/>
  <c r="N1152" i="2" s="1"/>
  <c r="O1150" i="2"/>
  <c r="O1136" i="2"/>
  <c r="N1136" i="2" s="1"/>
  <c r="N1137" i="2" s="1"/>
  <c r="O1135" i="2"/>
  <c r="O1121" i="2"/>
  <c r="N1121" i="2" s="1"/>
  <c r="N1122" i="2" s="1"/>
  <c r="O1120" i="2"/>
  <c r="O1106" i="2"/>
  <c r="N1106" i="2" s="1"/>
  <c r="N1107" i="2" s="1"/>
  <c r="O1105" i="2"/>
  <c r="O1091" i="2"/>
  <c r="N1091" i="2"/>
  <c r="N1092" i="2" s="1"/>
  <c r="O1090" i="2"/>
  <c r="O1076" i="2"/>
  <c r="N1076" i="2" s="1"/>
  <c r="N1077" i="2" s="1"/>
  <c r="O1075" i="2"/>
  <c r="O1061" i="2"/>
  <c r="N1061" i="2" s="1"/>
  <c r="N1062" i="2" s="1"/>
  <c r="O1060" i="2"/>
  <c r="O1046" i="2"/>
  <c r="N1046" i="2" s="1"/>
  <c r="N1047" i="2" s="1"/>
  <c r="O1045" i="2"/>
  <c r="O1031" i="2"/>
  <c r="N1031" i="2" s="1"/>
  <c r="N1032" i="2" s="1"/>
  <c r="O1030" i="2"/>
  <c r="O1016" i="2"/>
  <c r="N1016" i="2" s="1"/>
  <c r="N1017" i="2" s="1"/>
  <c r="O1015" i="2"/>
  <c r="O1001" i="2"/>
  <c r="N1001" i="2" s="1"/>
  <c r="N1002" i="2" s="1"/>
  <c r="O1000" i="2"/>
  <c r="O986" i="2"/>
  <c r="N986" i="2"/>
  <c r="N987" i="2" s="1"/>
  <c r="O985" i="2"/>
  <c r="O971" i="2"/>
  <c r="N971" i="2" s="1"/>
  <c r="N972" i="2" s="1"/>
  <c r="O970" i="2"/>
  <c r="O956" i="2"/>
  <c r="N956" i="2" s="1"/>
  <c r="N957" i="2" s="1"/>
  <c r="O955" i="2"/>
  <c r="O941" i="2"/>
  <c r="N941" i="2" s="1"/>
  <c r="N942" i="2" s="1"/>
  <c r="O940" i="2"/>
  <c r="O926" i="2"/>
  <c r="N926" i="2" s="1"/>
  <c r="N927" i="2" s="1"/>
  <c r="O925" i="2"/>
  <c r="O911" i="2"/>
  <c r="N911" i="2" s="1"/>
  <c r="N912" i="2" s="1"/>
  <c r="O910" i="2"/>
  <c r="O896" i="2"/>
  <c r="N896" i="2"/>
  <c r="N897" i="2" s="1"/>
  <c r="O895" i="2"/>
  <c r="O881" i="2"/>
  <c r="N881" i="2"/>
  <c r="N882" i="2" s="1"/>
  <c r="O880" i="2"/>
  <c r="O866" i="2"/>
  <c r="N866" i="2" s="1"/>
  <c r="N867" i="2" s="1"/>
  <c r="O865" i="2"/>
  <c r="O851" i="2"/>
  <c r="N851" i="2" s="1"/>
  <c r="N852" i="2" s="1"/>
  <c r="O850" i="2"/>
  <c r="O836" i="2"/>
  <c r="N836" i="2"/>
  <c r="N837" i="2" s="1"/>
  <c r="O835" i="2"/>
  <c r="O821" i="2"/>
  <c r="N821" i="2" s="1"/>
  <c r="N822" i="2" s="1"/>
  <c r="O820" i="2"/>
  <c r="O806" i="2"/>
  <c r="N806" i="2" s="1"/>
  <c r="N807" i="2" s="1"/>
  <c r="O805" i="2"/>
  <c r="O791" i="2"/>
  <c r="N791" i="2" s="1"/>
  <c r="N792" i="2" s="1"/>
  <c r="O790" i="2"/>
  <c r="O776" i="2"/>
  <c r="N776" i="2" s="1"/>
  <c r="N777" i="2" s="1"/>
  <c r="O775" i="2"/>
  <c r="O761" i="2"/>
  <c r="N761" i="2" s="1"/>
  <c r="N762" i="2" s="1"/>
  <c r="O760" i="2"/>
  <c r="O746" i="2"/>
  <c r="N746" i="2" s="1"/>
  <c r="N747" i="2" s="1"/>
  <c r="O745" i="2"/>
  <c r="O731" i="2"/>
  <c r="N731" i="2"/>
  <c r="N732" i="2" s="1"/>
  <c r="O730" i="2"/>
  <c r="O716" i="2"/>
  <c r="N716" i="2" s="1"/>
  <c r="N717" i="2" s="1"/>
  <c r="O715" i="2"/>
  <c r="O701" i="2"/>
  <c r="N701" i="2" s="1"/>
  <c r="N702" i="2" s="1"/>
  <c r="O700" i="2"/>
  <c r="O686" i="2"/>
  <c r="N686" i="2" s="1"/>
  <c r="N687" i="2" s="1"/>
  <c r="O685" i="2"/>
  <c r="O671" i="2"/>
  <c r="N671" i="2" s="1"/>
  <c r="N672" i="2" s="1"/>
  <c r="O670" i="2"/>
  <c r="O656" i="2"/>
  <c r="N656" i="2" s="1"/>
  <c r="N657" i="2" s="1"/>
  <c r="O655" i="2"/>
  <c r="O641" i="2"/>
  <c r="N641" i="2" s="1"/>
  <c r="N642" i="2" s="1"/>
  <c r="O640" i="2"/>
  <c r="O626" i="2"/>
  <c r="N626" i="2" s="1"/>
  <c r="N627" i="2" s="1"/>
  <c r="O625" i="2"/>
  <c r="O611" i="2"/>
  <c r="N611" i="2"/>
  <c r="N612" i="2" s="1"/>
  <c r="O610" i="2"/>
  <c r="O596" i="2"/>
  <c r="N596" i="2" s="1"/>
  <c r="N597" i="2" s="1"/>
  <c r="O595" i="2"/>
  <c r="O581" i="2"/>
  <c r="N581" i="2" s="1"/>
  <c r="N582" i="2" s="1"/>
  <c r="O580" i="2"/>
  <c r="O566" i="2"/>
  <c r="N566" i="2" s="1"/>
  <c r="N567" i="2" s="1"/>
  <c r="O565" i="2"/>
  <c r="O551" i="2"/>
  <c r="N551" i="2" s="1"/>
  <c r="N552" i="2" s="1"/>
  <c r="O550" i="2"/>
  <c r="O536" i="2"/>
  <c r="N536" i="2" s="1"/>
  <c r="N537" i="2" s="1"/>
  <c r="O535" i="2"/>
  <c r="O521" i="2"/>
  <c r="N521" i="2" s="1"/>
  <c r="N522" i="2" s="1"/>
  <c r="O520" i="2"/>
  <c r="O506" i="2"/>
  <c r="N506" i="2" s="1"/>
  <c r="N507" i="2" s="1"/>
  <c r="O505" i="2"/>
  <c r="O491" i="2"/>
  <c r="N491" i="2" s="1"/>
  <c r="N492" i="2" s="1"/>
  <c r="O490" i="2"/>
  <c r="O476" i="2"/>
  <c r="N476" i="2" s="1"/>
  <c r="N477" i="2" s="1"/>
  <c r="O475" i="2"/>
  <c r="O461" i="2"/>
  <c r="N461" i="2" s="1"/>
  <c r="N462" i="2" s="1"/>
  <c r="O460" i="2"/>
  <c r="O446" i="2"/>
  <c r="N446" i="2" s="1"/>
  <c r="N447" i="2" s="1"/>
  <c r="O445" i="2"/>
  <c r="O431" i="2"/>
  <c r="N431" i="2" s="1"/>
  <c r="N432" i="2" s="1"/>
  <c r="O430" i="2"/>
  <c r="O416" i="2"/>
  <c r="N416" i="2" s="1"/>
  <c r="N417" i="2" s="1"/>
  <c r="O415" i="2"/>
  <c r="O401" i="2"/>
  <c r="N401" i="2" s="1"/>
  <c r="N402" i="2" s="1"/>
  <c r="O400" i="2"/>
  <c r="O386" i="2"/>
  <c r="N386" i="2" s="1"/>
  <c r="N387" i="2" s="1"/>
  <c r="O385" i="2"/>
  <c r="O371" i="2"/>
  <c r="N371" i="2" s="1"/>
  <c r="N372" i="2" s="1"/>
  <c r="O370" i="2"/>
  <c r="O356" i="2"/>
  <c r="N356" i="2"/>
  <c r="N357" i="2" s="1"/>
  <c r="O355" i="2"/>
  <c r="O341" i="2"/>
  <c r="N341" i="2" s="1"/>
  <c r="N342" i="2" s="1"/>
  <c r="O340" i="2"/>
  <c r="O326" i="2"/>
  <c r="N326" i="2" s="1"/>
  <c r="N327" i="2" s="1"/>
  <c r="O325" i="2"/>
  <c r="O311" i="2"/>
  <c r="N311" i="2" s="1"/>
  <c r="N312" i="2" s="1"/>
  <c r="O310" i="2"/>
  <c r="O296" i="2"/>
  <c r="N296" i="2" s="1"/>
  <c r="N297" i="2" s="1"/>
  <c r="O295" i="2"/>
  <c r="O281" i="2"/>
  <c r="N281" i="2" s="1"/>
  <c r="N282" i="2" s="1"/>
  <c r="O280" i="2"/>
  <c r="O266" i="2"/>
  <c r="N266" i="2" s="1"/>
  <c r="N267" i="2" s="1"/>
  <c r="O265" i="2"/>
  <c r="O251" i="2"/>
  <c r="N251" i="2" s="1"/>
  <c r="N252" i="2" s="1"/>
  <c r="O250" i="2"/>
  <c r="O236" i="2"/>
  <c r="N236" i="2" s="1"/>
  <c r="N237" i="2" s="1"/>
  <c r="O235" i="2"/>
  <c r="O221" i="2"/>
  <c r="N221" i="2"/>
  <c r="N222" i="2" s="1"/>
  <c r="O220" i="2"/>
  <c r="O206" i="2"/>
  <c r="N206" i="2" s="1"/>
  <c r="N207" i="2" s="1"/>
  <c r="O205" i="2"/>
  <c r="O191" i="2"/>
  <c r="N191" i="2" s="1"/>
  <c r="N192" i="2" s="1"/>
  <c r="O190" i="2"/>
  <c r="O176" i="2"/>
  <c r="N176" i="2" s="1"/>
  <c r="N177" i="2" s="1"/>
  <c r="O175" i="2"/>
  <c r="O161" i="2"/>
  <c r="N161" i="2" s="1"/>
  <c r="N162" i="2" s="1"/>
  <c r="O160" i="2"/>
  <c r="O146" i="2"/>
  <c r="N146" i="2" s="1"/>
  <c r="N147" i="2" s="1"/>
  <c r="O145" i="2"/>
  <c r="O131" i="2"/>
  <c r="N131" i="2" s="1"/>
  <c r="N132" i="2" s="1"/>
  <c r="O130" i="2"/>
  <c r="O116" i="2"/>
  <c r="N116" i="2" s="1"/>
  <c r="N117" i="2" s="1"/>
  <c r="O115" i="2"/>
  <c r="O101" i="2"/>
  <c r="N101" i="2"/>
  <c r="N102" i="2" s="1"/>
  <c r="O100" i="2"/>
  <c r="O86" i="2"/>
  <c r="N86" i="2" s="1"/>
  <c r="N87" i="2" s="1"/>
  <c r="O85" i="2"/>
  <c r="O71" i="2"/>
  <c r="N71" i="2" s="1"/>
  <c r="N72" i="2" s="1"/>
  <c r="O70" i="2"/>
  <c r="O56" i="2"/>
  <c r="N56" i="2" s="1"/>
  <c r="N57" i="2" s="1"/>
  <c r="O55" i="2"/>
  <c r="O41" i="2"/>
  <c r="N41" i="2" s="1"/>
  <c r="N42" i="2" s="1"/>
  <c r="O40" i="2"/>
  <c r="O26" i="2"/>
  <c r="N26" i="2" s="1"/>
  <c r="N27" i="2" s="1"/>
  <c r="O25" i="2"/>
  <c r="J179" i="1"/>
  <c r="J180" i="1" s="1"/>
  <c r="I179" i="1"/>
  <c r="I180" i="1" s="1"/>
  <c r="H179" i="1"/>
  <c r="H180" i="1" s="1"/>
  <c r="G179" i="1"/>
  <c r="G180" i="1" s="1"/>
  <c r="K161" i="1"/>
  <c r="E161" i="1"/>
  <c r="K160" i="1"/>
  <c r="E160" i="1"/>
  <c r="K159" i="1"/>
  <c r="E159" i="1"/>
  <c r="K158" i="1"/>
  <c r="E158" i="1"/>
  <c r="K157" i="1"/>
  <c r="E157" i="1"/>
  <c r="K156" i="1"/>
  <c r="E156" i="1"/>
  <c r="K155" i="1"/>
  <c r="E155" i="1"/>
  <c r="K154" i="1"/>
  <c r="E154" i="1"/>
  <c r="K153" i="1"/>
  <c r="E153" i="1"/>
  <c r="K152" i="1"/>
  <c r="E152" i="1"/>
  <c r="K151" i="1"/>
  <c r="E151" i="1"/>
  <c r="K150" i="1"/>
  <c r="E150" i="1"/>
  <c r="K149" i="1"/>
  <c r="E149" i="1"/>
  <c r="K148" i="1"/>
  <c r="E148" i="1"/>
  <c r="K147" i="1"/>
  <c r="E147" i="1"/>
  <c r="K146" i="1"/>
  <c r="E146" i="1"/>
  <c r="C145" i="1"/>
  <c r="K145" i="1" s="1"/>
  <c r="K144" i="1"/>
  <c r="E144" i="1"/>
  <c r="K143" i="1"/>
  <c r="E143" i="1"/>
  <c r="K142" i="1"/>
  <c r="C142" i="1"/>
  <c r="E142" i="1" s="1"/>
  <c r="K141" i="1"/>
  <c r="E141" i="1"/>
  <c r="K140" i="1"/>
  <c r="E140" i="1"/>
  <c r="K139" i="1"/>
  <c r="E139" i="1"/>
  <c r="C138" i="1"/>
  <c r="K138" i="1" s="1"/>
  <c r="K137" i="1"/>
  <c r="E137" i="1"/>
  <c r="K136" i="1"/>
  <c r="E136" i="1"/>
  <c r="K135" i="1"/>
  <c r="E135" i="1"/>
  <c r="K134" i="1"/>
  <c r="E134" i="1"/>
  <c r="C133" i="1"/>
  <c r="K133" i="1" s="1"/>
  <c r="K132" i="1"/>
  <c r="E132" i="1"/>
  <c r="K131" i="1"/>
  <c r="E131" i="1"/>
  <c r="K130" i="1"/>
  <c r="E130" i="1"/>
  <c r="K129" i="1"/>
  <c r="E129" i="1"/>
  <c r="C129" i="1"/>
  <c r="E128" i="1"/>
  <c r="C128" i="1"/>
  <c r="K128" i="1" s="1"/>
  <c r="C127" i="1"/>
  <c r="K127" i="1" s="1"/>
  <c r="C126" i="1"/>
  <c r="K126" i="1" s="1"/>
  <c r="C125" i="1"/>
  <c r="K125" i="1" s="1"/>
  <c r="K124" i="1"/>
  <c r="E124" i="1"/>
  <c r="E123" i="1"/>
  <c r="C123" i="1"/>
  <c r="K123" i="1" s="1"/>
  <c r="C122" i="1"/>
  <c r="K122" i="1" s="1"/>
  <c r="C121" i="1"/>
  <c r="K121" i="1" s="1"/>
  <c r="C120" i="1"/>
  <c r="K120" i="1" s="1"/>
  <c r="K119" i="1"/>
  <c r="C119" i="1"/>
  <c r="E119" i="1" s="1"/>
  <c r="K118" i="1"/>
  <c r="E118" i="1"/>
  <c r="C118" i="1"/>
  <c r="E117" i="1"/>
  <c r="C117" i="1"/>
  <c r="K117" i="1" s="1"/>
  <c r="K116" i="1"/>
  <c r="E116" i="1"/>
  <c r="C116" i="1"/>
  <c r="E115" i="1"/>
  <c r="C115" i="1"/>
  <c r="K115" i="1" s="1"/>
  <c r="C114" i="1"/>
  <c r="K114" i="1" s="1"/>
  <c r="C113" i="1"/>
  <c r="K113" i="1" s="1"/>
  <c r="C112" i="1"/>
  <c r="K112" i="1" s="1"/>
  <c r="K111" i="1"/>
  <c r="C111" i="1"/>
  <c r="E111" i="1" s="1"/>
  <c r="K110" i="1"/>
  <c r="E110" i="1"/>
  <c r="C110" i="1"/>
  <c r="E109" i="1"/>
  <c r="C109" i="1"/>
  <c r="K109" i="1" s="1"/>
  <c r="K108" i="1"/>
  <c r="E108" i="1"/>
  <c r="C108" i="1"/>
  <c r="E107" i="1"/>
  <c r="C107" i="1"/>
  <c r="K107" i="1" s="1"/>
  <c r="C106" i="1"/>
  <c r="K106" i="1" s="1"/>
  <c r="C105" i="1"/>
  <c r="K105" i="1" s="1"/>
  <c r="C104" i="1"/>
  <c r="K104" i="1" s="1"/>
  <c r="K103" i="1"/>
  <c r="C103" i="1"/>
  <c r="E103" i="1" s="1"/>
  <c r="K102" i="1"/>
  <c r="E102" i="1"/>
  <c r="C102" i="1"/>
  <c r="E101" i="1"/>
  <c r="C101" i="1"/>
  <c r="K101" i="1" s="1"/>
  <c r="K100" i="1"/>
  <c r="E100" i="1"/>
  <c r="C100" i="1"/>
  <c r="E99" i="1"/>
  <c r="C99" i="1"/>
  <c r="K99" i="1" s="1"/>
  <c r="C98" i="1"/>
  <c r="K98" i="1" s="1"/>
  <c r="C97" i="1"/>
  <c r="K97" i="1" s="1"/>
  <c r="C96" i="1"/>
  <c r="K96" i="1" s="1"/>
  <c r="K95" i="1"/>
  <c r="E95" i="1"/>
  <c r="C95" i="1"/>
  <c r="K94" i="1"/>
  <c r="E94" i="1"/>
  <c r="C94" i="1"/>
  <c r="C93" i="1"/>
  <c r="K93" i="1" s="1"/>
  <c r="K92" i="1"/>
  <c r="E92" i="1"/>
  <c r="C92" i="1"/>
  <c r="K91" i="1"/>
  <c r="E91" i="1"/>
  <c r="C91" i="1"/>
  <c r="K90" i="1"/>
  <c r="E90" i="1"/>
  <c r="K89" i="1"/>
  <c r="E89" i="1"/>
  <c r="C89" i="1"/>
  <c r="C88" i="1"/>
  <c r="K88" i="1" s="1"/>
  <c r="K87" i="1"/>
  <c r="E87" i="1"/>
  <c r="C87" i="1"/>
  <c r="K86" i="1"/>
  <c r="E86" i="1"/>
  <c r="C86" i="1"/>
  <c r="C85" i="1"/>
  <c r="K85" i="1" s="1"/>
  <c r="C84" i="1"/>
  <c r="K84" i="1" s="1"/>
  <c r="C83" i="1"/>
  <c r="K83" i="1" s="1"/>
  <c r="K82" i="1"/>
  <c r="E82" i="1"/>
  <c r="C82" i="1"/>
  <c r="K81" i="1"/>
  <c r="E81" i="1"/>
  <c r="C81" i="1"/>
  <c r="C80" i="1"/>
  <c r="K80" i="1" s="1"/>
  <c r="K79" i="1"/>
  <c r="E79" i="1"/>
  <c r="C79" i="1"/>
  <c r="K78" i="1"/>
  <c r="E78" i="1"/>
  <c r="C78" i="1"/>
  <c r="C77" i="1"/>
  <c r="K77" i="1" s="1"/>
  <c r="C76" i="1"/>
  <c r="K76" i="1" s="1"/>
  <c r="K75" i="1"/>
  <c r="E75" i="1"/>
  <c r="C75" i="1"/>
  <c r="C74" i="1"/>
  <c r="K74" i="1" s="1"/>
  <c r="C73" i="1"/>
  <c r="K73" i="1" s="1"/>
  <c r="C72" i="1"/>
  <c r="K72" i="1" s="1"/>
  <c r="K71" i="1"/>
  <c r="E71" i="1"/>
  <c r="C71" i="1"/>
  <c r="K70" i="1"/>
  <c r="E70" i="1"/>
  <c r="C70" i="1"/>
  <c r="C69" i="1"/>
  <c r="K69" i="1" s="1"/>
  <c r="K68" i="1"/>
  <c r="E68" i="1"/>
  <c r="K67" i="1"/>
  <c r="E67" i="1"/>
  <c r="K66" i="1"/>
  <c r="E66" i="1"/>
  <c r="C65" i="1"/>
  <c r="K65" i="1" s="1"/>
  <c r="C64" i="1"/>
  <c r="K64" i="1" s="1"/>
  <c r="K63" i="1"/>
  <c r="E63" i="1"/>
  <c r="C63" i="1"/>
  <c r="K62" i="1"/>
  <c r="E62" i="1"/>
  <c r="C62" i="1"/>
  <c r="C61" i="1"/>
  <c r="K61" i="1" s="1"/>
  <c r="C60" i="1"/>
  <c r="K60" i="1" s="1"/>
  <c r="C59" i="1"/>
  <c r="K59" i="1" s="1"/>
  <c r="K58" i="1"/>
  <c r="C58" i="1"/>
  <c r="E58" i="1" s="1"/>
  <c r="K57" i="1"/>
  <c r="E57" i="1"/>
  <c r="C57" i="1"/>
  <c r="C56" i="1"/>
  <c r="K56" i="1" s="1"/>
  <c r="K55" i="1"/>
  <c r="E55" i="1"/>
  <c r="C55" i="1"/>
  <c r="K54" i="1"/>
  <c r="E54" i="1"/>
  <c r="C54" i="1"/>
  <c r="C53" i="1"/>
  <c r="K53" i="1" s="1"/>
  <c r="K52" i="1"/>
  <c r="E52" i="1"/>
  <c r="C51" i="1"/>
  <c r="K51" i="1" s="1"/>
  <c r="E50" i="1"/>
  <c r="C50" i="1"/>
  <c r="K50" i="1" s="1"/>
  <c r="K49" i="1"/>
  <c r="E49" i="1"/>
  <c r="C49" i="1"/>
  <c r="C48" i="1"/>
  <c r="K48" i="1" s="1"/>
  <c r="C47" i="1"/>
  <c r="K47" i="1" s="1"/>
  <c r="C46" i="1"/>
  <c r="K46" i="1" s="1"/>
  <c r="K45" i="1"/>
  <c r="C45" i="1"/>
  <c r="E45" i="1" s="1"/>
  <c r="K44" i="1"/>
  <c r="E44" i="1"/>
  <c r="C44" i="1"/>
  <c r="C43" i="1"/>
  <c r="K43" i="1" s="1"/>
  <c r="K42" i="1"/>
  <c r="E42" i="1"/>
  <c r="C42" i="1"/>
  <c r="K41" i="1"/>
  <c r="E41" i="1"/>
  <c r="C41" i="1"/>
  <c r="C40" i="1"/>
  <c r="K40" i="1" s="1"/>
  <c r="C39" i="1"/>
  <c r="K39" i="1" s="1"/>
  <c r="C38" i="1"/>
  <c r="K38" i="1" s="1"/>
  <c r="K37" i="1"/>
  <c r="C37" i="1"/>
  <c r="E37" i="1" s="1"/>
  <c r="K36" i="1"/>
  <c r="E36" i="1"/>
  <c r="C36" i="1"/>
  <c r="C35" i="1"/>
  <c r="K35" i="1" s="1"/>
  <c r="A35" i="1"/>
  <c r="A36" i="1" s="1"/>
  <c r="K34" i="1"/>
  <c r="E34" i="1"/>
  <c r="C34" i="1"/>
  <c r="A34" i="1"/>
  <c r="C33" i="1"/>
  <c r="E33" i="1" s="1"/>
  <c r="K32" i="1"/>
  <c r="C32" i="1"/>
  <c r="E32" i="1" s="1"/>
  <c r="C31" i="1"/>
  <c r="E31" i="1" s="1"/>
  <c r="K30" i="1"/>
  <c r="E30" i="1"/>
  <c r="K29" i="1"/>
  <c r="C29" i="1"/>
  <c r="E29" i="1" s="1"/>
  <c r="K28" i="1"/>
  <c r="E28" i="1"/>
  <c r="C28" i="1"/>
  <c r="K27" i="1"/>
  <c r="C27" i="1"/>
  <c r="E27" i="1" s="1"/>
  <c r="K26" i="1"/>
  <c r="E26" i="1"/>
  <c r="C26" i="1"/>
  <c r="K25" i="1"/>
  <c r="C25" i="1"/>
  <c r="E25" i="1" s="1"/>
  <c r="K24" i="1"/>
  <c r="E24" i="1"/>
  <c r="C24" i="1"/>
  <c r="K23" i="1"/>
  <c r="C23" i="1"/>
  <c r="E23" i="1" s="1"/>
  <c r="K22" i="1"/>
  <c r="E22" i="1"/>
  <c r="K21" i="1"/>
  <c r="E21" i="1"/>
  <c r="C21" i="1"/>
  <c r="K20" i="1"/>
  <c r="E20" i="1"/>
  <c r="C20" i="1"/>
  <c r="A20" i="1"/>
  <c r="A21" i="1" s="1"/>
  <c r="P19" i="1"/>
  <c r="O19" i="1"/>
  <c r="K19" i="1"/>
  <c r="E19" i="1"/>
  <c r="C19" i="1"/>
  <c r="K18" i="1"/>
  <c r="E18" i="1"/>
  <c r="C18" i="1"/>
  <c r="K17" i="1"/>
  <c r="E17" i="1"/>
  <c r="C17" i="1"/>
  <c r="K16" i="1"/>
  <c r="E16" i="1"/>
  <c r="C16" i="1"/>
  <c r="K15" i="1"/>
  <c r="E15" i="1"/>
  <c r="C15" i="1"/>
  <c r="K14" i="1"/>
  <c r="E14" i="1"/>
  <c r="C14" i="1"/>
  <c r="K13" i="1"/>
  <c r="E13" i="1"/>
  <c r="C13" i="1"/>
  <c r="K12" i="1"/>
  <c r="E12" i="1"/>
  <c r="C12" i="1"/>
  <c r="K11" i="1"/>
  <c r="E11" i="1"/>
  <c r="C11" i="1"/>
  <c r="K10" i="1"/>
  <c r="E10" i="1"/>
  <c r="C10" i="1"/>
  <c r="K9" i="1"/>
  <c r="E9" i="1"/>
  <c r="C9" i="1"/>
  <c r="K8" i="1"/>
  <c r="E8" i="1"/>
  <c r="C8" i="1"/>
  <c r="K7" i="1"/>
  <c r="E7" i="1"/>
  <c r="C7" i="1"/>
  <c r="K6" i="1"/>
  <c r="E6" i="1"/>
  <c r="C6" i="1"/>
  <c r="K5" i="1"/>
  <c r="E5" i="1"/>
  <c r="C5" i="1"/>
  <c r="K4" i="1"/>
  <c r="E4" i="1"/>
  <c r="GD3" i="1"/>
  <c r="GC3" i="1"/>
  <c r="GB3" i="1"/>
  <c r="GA3" i="1"/>
  <c r="FZ3" i="1"/>
  <c r="FY3" i="1"/>
  <c r="FX3" i="1"/>
  <c r="FW3" i="1"/>
  <c r="FV3" i="1"/>
  <c r="FU3" i="1"/>
  <c r="FT3" i="1"/>
  <c r="FS3" i="1"/>
  <c r="FR3" i="1"/>
  <c r="FQ3" i="1"/>
  <c r="FP3" i="1"/>
  <c r="FO3" i="1"/>
  <c r="FN3" i="1"/>
  <c r="FM3" i="1"/>
  <c r="FL3" i="1"/>
  <c r="FK3" i="1"/>
  <c r="FJ3" i="1"/>
  <c r="FI3" i="1"/>
  <c r="FH3" i="1"/>
  <c r="FG3" i="1"/>
  <c r="FF3" i="1"/>
  <c r="FE3" i="1"/>
  <c r="FD3" i="1"/>
  <c r="FC3" i="1"/>
  <c r="FB3" i="1"/>
  <c r="FA3" i="1"/>
  <c r="EZ3" i="1"/>
  <c r="EY3" i="1"/>
  <c r="EX3" i="1"/>
  <c r="EW3" i="1"/>
  <c r="EV3" i="1"/>
  <c r="EU3" i="1"/>
  <c r="ET3" i="1"/>
  <c r="ES3" i="1"/>
  <c r="ER3" i="1"/>
  <c r="EQ3" i="1"/>
  <c r="EP3" i="1"/>
  <c r="EO3" i="1"/>
  <c r="EN3" i="1"/>
  <c r="EM3" i="1"/>
  <c r="EL3" i="1"/>
  <c r="EK3" i="1"/>
  <c r="EJ3" i="1"/>
  <c r="EI3" i="1"/>
  <c r="EH3" i="1"/>
  <c r="EG3" i="1"/>
  <c r="EF3" i="1"/>
  <c r="EE3" i="1"/>
  <c r="ED3" i="1"/>
  <c r="EC3" i="1"/>
  <c r="EB3" i="1"/>
  <c r="EA3" i="1"/>
  <c r="DZ3" i="1"/>
  <c r="DY3" i="1"/>
  <c r="DX3" i="1"/>
  <c r="DW3" i="1"/>
  <c r="DV3" i="1"/>
  <c r="DU3" i="1"/>
  <c r="DT3" i="1"/>
  <c r="DS3" i="1"/>
  <c r="DR3" i="1"/>
  <c r="DQ3" i="1"/>
  <c r="DP3" i="1"/>
  <c r="DO3" i="1"/>
  <c r="DN3" i="1"/>
  <c r="DM3" i="1"/>
  <c r="DL3" i="1"/>
  <c r="DK3" i="1"/>
  <c r="DJ3" i="1"/>
  <c r="DI3" i="1"/>
  <c r="DH3" i="1"/>
  <c r="DG3" i="1"/>
  <c r="DF3" i="1"/>
  <c r="DE3" i="1"/>
  <c r="D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GL2" i="1"/>
  <c r="GK2" i="1"/>
  <c r="GJ2" i="1"/>
  <c r="GI2" i="1"/>
  <c r="GH2" i="1"/>
  <c r="GG2" i="1"/>
  <c r="GF2" i="1"/>
  <c r="GE2" i="1"/>
  <c r="GD2" i="1"/>
  <c r="GC2" i="1"/>
  <c r="GB2" i="1"/>
  <c r="GA2" i="1"/>
  <c r="FZ2" i="1"/>
  <c r="FY2" i="1"/>
  <c r="FX2" i="1"/>
  <c r="FW2" i="1"/>
  <c r="FV2" i="1"/>
  <c r="FU2" i="1"/>
  <c r="FT2" i="1"/>
  <c r="FS2" i="1"/>
  <c r="FR2" i="1"/>
  <c r="FQ2" i="1"/>
  <c r="FP2" i="1"/>
  <c r="FO2" i="1"/>
  <c r="FN2" i="1"/>
  <c r="FM2" i="1"/>
  <c r="FL2" i="1"/>
  <c r="FK2" i="1"/>
  <c r="FJ2" i="1"/>
  <c r="FI2" i="1"/>
  <c r="FH2" i="1"/>
  <c r="FG2" i="1"/>
  <c r="FF2" i="1"/>
  <c r="FE2" i="1"/>
  <c r="FD2" i="1"/>
  <c r="FC2" i="1"/>
  <c r="FB2" i="1"/>
  <c r="FA2" i="1"/>
  <c r="EZ2" i="1"/>
  <c r="EY2" i="1"/>
  <c r="EX2" i="1"/>
  <c r="EW2" i="1"/>
  <c r="EV2" i="1"/>
  <c r="EU2" i="1"/>
  <c r="ET2" i="1"/>
  <c r="ES2" i="1"/>
  <c r="ER2" i="1"/>
  <c r="EQ2" i="1"/>
  <c r="EP2" i="1"/>
  <c r="EO2" i="1"/>
  <c r="EN2" i="1"/>
  <c r="EM2" i="1"/>
  <c r="EL2" i="1"/>
  <c r="EK2" i="1"/>
  <c r="EJ2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DV2" i="1"/>
  <c r="DU2" i="1"/>
  <c r="DT2" i="1"/>
  <c r="DS2" i="1"/>
  <c r="DR2" i="1"/>
  <c r="DQ2" i="1"/>
  <c r="DP2" i="1"/>
  <c r="DO2" i="1"/>
  <c r="DN2" i="1"/>
  <c r="DM2" i="1"/>
  <c r="DL2" i="1"/>
  <c r="DK2" i="1"/>
  <c r="DJ2" i="1"/>
  <c r="DI2" i="1"/>
  <c r="DH2" i="1"/>
  <c r="DG2" i="1"/>
  <c r="DF2" i="1"/>
  <c r="DE2" i="1"/>
  <c r="DD2" i="1"/>
  <c r="DC2" i="1"/>
  <c r="DB2" i="1"/>
  <c r="DA2" i="1"/>
  <c r="CZ2" i="1"/>
  <c r="CY2" i="1"/>
  <c r="CX2" i="1"/>
  <c r="CW2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V1" i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U1" i="1"/>
  <c r="L19" i="1" l="1"/>
  <c r="L17" i="1"/>
  <c r="L15" i="1"/>
  <c r="L13" i="1"/>
  <c r="L11" i="1"/>
  <c r="L9" i="1"/>
  <c r="L7" i="1"/>
  <c r="L5" i="1"/>
  <c r="L34" i="1"/>
  <c r="L28" i="1"/>
  <c r="L26" i="1"/>
  <c r="L24" i="1"/>
  <c r="L22" i="1"/>
  <c r="L20" i="1"/>
  <c r="L32" i="1"/>
  <c r="L30" i="1"/>
  <c r="L18" i="1"/>
  <c r="L16" i="1"/>
  <c r="L14" i="1"/>
  <c r="L12" i="1"/>
  <c r="L10" i="1"/>
  <c r="L8" i="1"/>
  <c r="L6" i="1"/>
  <c r="L4" i="1"/>
  <c r="L29" i="1"/>
  <c r="L27" i="1"/>
  <c r="L25" i="1"/>
  <c r="L23" i="1"/>
  <c r="L33" i="1"/>
  <c r="L31" i="1"/>
  <c r="DU1" i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  <c r="FC1" i="1" s="1"/>
  <c r="FD1" i="1" s="1"/>
  <c r="FE1" i="1" s="1"/>
  <c r="FF1" i="1" s="1"/>
  <c r="FG1" i="1" s="1"/>
  <c r="FH1" i="1" s="1"/>
  <c r="FI1" i="1" s="1"/>
  <c r="FJ1" i="1" s="1"/>
  <c r="FK1" i="1" s="1"/>
  <c r="FL1" i="1" s="1"/>
  <c r="FM1" i="1" s="1"/>
  <c r="FN1" i="1" s="1"/>
  <c r="FO1" i="1" s="1"/>
  <c r="FP1" i="1" s="1"/>
  <c r="FQ1" i="1" s="1"/>
  <c r="FR1" i="1" s="1"/>
  <c r="FS1" i="1" s="1"/>
  <c r="FT1" i="1" s="1"/>
  <c r="FU1" i="1" s="1"/>
  <c r="FV1" i="1" s="1"/>
  <c r="FW1" i="1" s="1"/>
  <c r="FX1" i="1" s="1"/>
  <c r="FY1" i="1" s="1"/>
  <c r="FZ1" i="1" s="1"/>
  <c r="GA1" i="1" s="1"/>
  <c r="GB1" i="1" s="1"/>
  <c r="GC1" i="1" s="1"/>
  <c r="GD1" i="1" s="1"/>
  <c r="GE1" i="1" s="1"/>
  <c r="GF1" i="1" s="1"/>
  <c r="GG1" i="1" s="1"/>
  <c r="GH1" i="1" s="1"/>
  <c r="GI1" i="1" s="1"/>
  <c r="GJ1" i="1" s="1"/>
  <c r="GK1" i="1" s="1"/>
  <c r="GL1" i="1" s="1"/>
  <c r="L21" i="1"/>
  <c r="G182" i="1"/>
  <c r="G183" i="1"/>
  <c r="G184" i="1" s="1"/>
  <c r="A37" i="1"/>
  <c r="L36" i="1"/>
  <c r="H182" i="1"/>
  <c r="H183" i="1"/>
  <c r="H184" i="1" s="1"/>
  <c r="I182" i="1"/>
  <c r="I183" i="1" s="1"/>
  <c r="I184" i="1" s="1"/>
  <c r="O64" i="1"/>
  <c r="N64" i="1"/>
  <c r="J182" i="1"/>
  <c r="J183" i="1"/>
  <c r="J184" i="1" s="1"/>
  <c r="K31" i="1"/>
  <c r="K33" i="1"/>
  <c r="E38" i="1"/>
  <c r="E46" i="1"/>
  <c r="E59" i="1"/>
  <c r="E65" i="1"/>
  <c r="E72" i="1"/>
  <c r="E83" i="1"/>
  <c r="E96" i="1"/>
  <c r="E104" i="1"/>
  <c r="E112" i="1"/>
  <c r="E120" i="1"/>
  <c r="E125" i="1"/>
  <c r="E145" i="1"/>
  <c r="E35" i="1"/>
  <c r="E43" i="1"/>
  <c r="E51" i="1"/>
  <c r="E56" i="1"/>
  <c r="E64" i="1"/>
  <c r="E69" i="1"/>
  <c r="E80" i="1"/>
  <c r="E88" i="1"/>
  <c r="E93" i="1"/>
  <c r="E40" i="1"/>
  <c r="E48" i="1"/>
  <c r="E53" i="1"/>
  <c r="E61" i="1"/>
  <c r="E74" i="1"/>
  <c r="E77" i="1"/>
  <c r="E85" i="1"/>
  <c r="E98" i="1"/>
  <c r="E106" i="1"/>
  <c r="E114" i="1"/>
  <c r="E122" i="1"/>
  <c r="E127" i="1"/>
  <c r="E138" i="1"/>
  <c r="L35" i="1"/>
  <c r="E39" i="1"/>
  <c r="E47" i="1"/>
  <c r="E60" i="1"/>
  <c r="E73" i="1"/>
  <c r="E76" i="1"/>
  <c r="E84" i="1"/>
  <c r="E97" i="1"/>
  <c r="E105" i="1"/>
  <c r="E113" i="1"/>
  <c r="E121" i="1"/>
  <c r="E126" i="1"/>
  <c r="E133" i="1"/>
  <c r="L4880" i="2" l="1"/>
  <c r="L4882" i="2" s="1"/>
  <c r="L4895" i="2"/>
  <c r="L4897" i="2" s="1"/>
  <c r="L4865" i="2"/>
  <c r="L4867" i="2" s="1"/>
  <c r="L4850" i="2"/>
  <c r="L4852" i="2" s="1"/>
  <c r="A38" i="1"/>
  <c r="L37" i="1"/>
  <c r="A39" i="1" l="1"/>
  <c r="L38" i="1"/>
  <c r="L39" i="1" l="1"/>
  <c r="A40" i="1"/>
  <c r="A41" i="1" l="1"/>
  <c r="L40" i="1"/>
  <c r="A42" i="1" l="1"/>
  <c r="L41" i="1"/>
  <c r="A43" i="1" l="1"/>
  <c r="L42" i="1"/>
  <c r="A44" i="1" l="1"/>
  <c r="L43" i="1"/>
  <c r="A45" i="1" l="1"/>
  <c r="L44" i="1"/>
  <c r="A46" i="1" l="1"/>
  <c r="L45" i="1"/>
  <c r="A47" i="1" l="1"/>
  <c r="L46" i="1"/>
  <c r="L47" i="1" l="1"/>
  <c r="A48" i="1"/>
  <c r="A49" i="1" l="1"/>
  <c r="L48" i="1"/>
  <c r="A50" i="1" l="1"/>
  <c r="L49" i="1"/>
  <c r="A51" i="1" l="1"/>
  <c r="L50" i="1"/>
  <c r="A52" i="1" l="1"/>
  <c r="L51" i="1"/>
  <c r="L52" i="1" l="1"/>
  <c r="A53" i="1"/>
  <c r="A54" i="1" l="1"/>
  <c r="L53" i="1"/>
  <c r="A55" i="1" l="1"/>
  <c r="L54" i="1"/>
  <c r="A56" i="1" l="1"/>
  <c r="L55" i="1"/>
  <c r="A57" i="1" l="1"/>
  <c r="L56" i="1"/>
  <c r="A58" i="1" l="1"/>
  <c r="L57" i="1"/>
  <c r="A59" i="1" l="1"/>
  <c r="L58" i="1"/>
  <c r="A60" i="1" l="1"/>
  <c r="L59" i="1"/>
  <c r="L60" i="1" l="1"/>
  <c r="A61" i="1"/>
  <c r="A62" i="1" l="1"/>
  <c r="L61" i="1"/>
  <c r="A63" i="1" l="1"/>
  <c r="L62" i="1"/>
  <c r="A64" i="1" l="1"/>
  <c r="L63" i="1"/>
  <c r="A65" i="1" l="1"/>
  <c r="L64" i="1"/>
  <c r="A66" i="1" l="1"/>
  <c r="L65" i="1"/>
  <c r="A67" i="1" l="1"/>
  <c r="L66" i="1"/>
  <c r="A68" i="1" l="1"/>
  <c r="L67" i="1"/>
  <c r="A69" i="1" l="1"/>
  <c r="L68" i="1"/>
  <c r="A70" i="1" l="1"/>
  <c r="L69" i="1"/>
  <c r="A71" i="1" l="1"/>
  <c r="L70" i="1"/>
  <c r="A72" i="1" l="1"/>
  <c r="L71" i="1"/>
  <c r="A73" i="1" l="1"/>
  <c r="L72" i="1"/>
  <c r="L73" i="1" l="1"/>
  <c r="A74" i="1"/>
  <c r="A75" i="1" l="1"/>
  <c r="L74" i="1"/>
  <c r="A76" i="1" l="1"/>
  <c r="L75" i="1"/>
  <c r="N75" i="1" s="1"/>
  <c r="L76" i="1" l="1"/>
  <c r="A77" i="1"/>
  <c r="A78" i="1" l="1"/>
  <c r="L77" i="1"/>
  <c r="A79" i="1" l="1"/>
  <c r="L78" i="1"/>
  <c r="A80" i="1" l="1"/>
  <c r="L79" i="1"/>
  <c r="A81" i="1" l="1"/>
  <c r="L80" i="1"/>
  <c r="A82" i="1" l="1"/>
  <c r="L81" i="1"/>
  <c r="A83" i="1" l="1"/>
  <c r="L82" i="1"/>
  <c r="A84" i="1" l="1"/>
  <c r="L83" i="1"/>
  <c r="L84" i="1" l="1"/>
  <c r="A85" i="1"/>
  <c r="A86" i="1" l="1"/>
  <c r="L85" i="1"/>
  <c r="A87" i="1" l="1"/>
  <c r="L86" i="1"/>
  <c r="A88" i="1" l="1"/>
  <c r="L87" i="1"/>
  <c r="A89" i="1" l="1"/>
  <c r="L88" i="1"/>
  <c r="A90" i="1" l="1"/>
  <c r="L89" i="1"/>
  <c r="A91" i="1" l="1"/>
  <c r="L90" i="1"/>
  <c r="A92" i="1" l="1"/>
  <c r="L91" i="1"/>
  <c r="G177" i="1" s="1"/>
  <c r="A93" i="1" l="1"/>
  <c r="L92" i="1"/>
  <c r="A94" i="1" l="1"/>
  <c r="L93" i="1"/>
  <c r="A95" i="1" l="1"/>
  <c r="L94" i="1"/>
  <c r="A96" i="1" l="1"/>
  <c r="L95" i="1"/>
  <c r="A97" i="1" l="1"/>
  <c r="L96" i="1"/>
  <c r="L97" i="1" l="1"/>
  <c r="A98" i="1"/>
  <c r="A99" i="1" l="1"/>
  <c r="L98" i="1"/>
  <c r="A100" i="1" l="1"/>
  <c r="L99" i="1"/>
  <c r="A101" i="1" l="1"/>
  <c r="L100" i="1"/>
  <c r="A102" i="1" l="1"/>
  <c r="L101" i="1"/>
  <c r="A103" i="1" l="1"/>
  <c r="L102" i="1"/>
  <c r="A104" i="1" l="1"/>
  <c r="L103" i="1"/>
  <c r="A105" i="1" l="1"/>
  <c r="L104" i="1"/>
  <c r="L105" i="1" l="1"/>
  <c r="A106" i="1"/>
  <c r="A107" i="1" l="1"/>
  <c r="L106" i="1"/>
  <c r="A108" i="1" l="1"/>
  <c r="L107" i="1"/>
  <c r="A109" i="1" l="1"/>
  <c r="L108" i="1"/>
  <c r="A110" i="1" l="1"/>
  <c r="L109" i="1"/>
  <c r="A111" i="1" l="1"/>
  <c r="L110" i="1"/>
  <c r="A112" i="1" l="1"/>
  <c r="L111" i="1"/>
  <c r="A113" i="1" l="1"/>
  <c r="L112" i="1"/>
  <c r="L113" i="1" l="1"/>
  <c r="A114" i="1"/>
  <c r="A115" i="1" l="1"/>
  <c r="L114" i="1"/>
  <c r="A116" i="1" l="1"/>
  <c r="L115" i="1"/>
  <c r="A117" i="1" l="1"/>
  <c r="L116" i="1"/>
  <c r="A118" i="1" l="1"/>
  <c r="L117" i="1"/>
  <c r="A119" i="1" l="1"/>
  <c r="L118" i="1"/>
  <c r="A120" i="1" l="1"/>
  <c r="L119" i="1"/>
  <c r="A121" i="1" l="1"/>
  <c r="L120" i="1"/>
  <c r="L121" i="1" l="1"/>
  <c r="A122" i="1"/>
  <c r="A123" i="1" l="1"/>
  <c r="L122" i="1"/>
  <c r="A124" i="1" l="1"/>
  <c r="L123" i="1"/>
  <c r="A125" i="1" l="1"/>
  <c r="L124" i="1"/>
  <c r="A126" i="1" l="1"/>
  <c r="L125" i="1"/>
  <c r="L126" i="1" l="1"/>
  <c r="A127" i="1"/>
  <c r="A128" i="1" l="1"/>
  <c r="L127" i="1"/>
  <c r="A129" i="1" l="1"/>
  <c r="L128" i="1"/>
  <c r="A130" i="1" l="1"/>
  <c r="L129" i="1"/>
  <c r="A131" i="1" l="1"/>
  <c r="L130" i="1"/>
  <c r="A132" i="1" l="1"/>
  <c r="L131" i="1"/>
  <c r="A133" i="1" l="1"/>
  <c r="L132" i="1"/>
  <c r="L133" i="1" l="1"/>
  <c r="A134" i="1"/>
  <c r="A135" i="1" l="1"/>
  <c r="L134" i="1"/>
  <c r="L135" i="1" l="1"/>
  <c r="A136" i="1"/>
  <c r="A137" i="1" l="1"/>
  <c r="L136" i="1"/>
  <c r="L137" i="1" l="1"/>
  <c r="A138" i="1"/>
  <c r="A139" i="1" l="1"/>
  <c r="L138" i="1"/>
  <c r="A140" i="1" l="1"/>
  <c r="L139" i="1"/>
  <c r="A141" i="1" l="1"/>
  <c r="L140" i="1"/>
  <c r="A142" i="1" l="1"/>
  <c r="L141" i="1"/>
  <c r="A143" i="1" l="1"/>
  <c r="L142" i="1"/>
  <c r="A144" i="1" l="1"/>
  <c r="L143" i="1"/>
  <c r="A145" i="1" l="1"/>
  <c r="L144" i="1"/>
  <c r="A146" i="1" l="1"/>
  <c r="L145" i="1"/>
  <c r="A147" i="1" l="1"/>
  <c r="L146" i="1"/>
  <c r="A148" i="1" l="1"/>
  <c r="L147" i="1"/>
  <c r="A149" i="1" l="1"/>
  <c r="L148" i="1"/>
  <c r="A150" i="1" l="1"/>
  <c r="L149" i="1"/>
  <c r="A151" i="1" l="1"/>
  <c r="L150" i="1"/>
  <c r="A152" i="1" l="1"/>
  <c r="L151" i="1"/>
  <c r="A153" i="1" l="1"/>
  <c r="L152" i="1"/>
  <c r="A154" i="1" l="1"/>
  <c r="L153" i="1"/>
  <c r="A155" i="1" l="1"/>
  <c r="L154" i="1"/>
  <c r="A156" i="1" l="1"/>
  <c r="L155" i="1"/>
  <c r="A157" i="1" l="1"/>
  <c r="L156" i="1"/>
  <c r="A158" i="1" l="1"/>
  <c r="L157" i="1"/>
  <c r="A159" i="1" l="1"/>
  <c r="L158" i="1"/>
  <c r="A160" i="1" l="1"/>
  <c r="L159" i="1"/>
  <c r="A161" i="1" l="1"/>
  <c r="L160" i="1"/>
  <c r="L16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Groszkiewicz</author>
  </authors>
  <commentList>
    <comment ref="B2" authorId="0" shapeId="0" xr:uid="{070B0F4B-BC8B-489B-9289-4E2F2067F2A5}">
      <text>
        <r>
          <rPr>
            <sz val="9"/>
            <color indexed="81"/>
            <rFont val="Tahoma"/>
            <family val="2"/>
          </rPr>
          <t>GREEN = new arrivals, not yet roasted on HotTop</t>
        </r>
      </text>
    </comment>
  </commentList>
</comments>
</file>

<file path=xl/sharedStrings.xml><?xml version="1.0" encoding="utf-8"?>
<sst xmlns="http://schemas.openxmlformats.org/spreadsheetml/2006/main" count="9313" uniqueCount="568">
  <si>
    <t>Number</t>
  </si>
  <si>
    <t>Coffee</t>
  </si>
  <si>
    <t>Weight</t>
  </si>
  <si>
    <t>CostPer</t>
  </si>
  <si>
    <t>Value</t>
  </si>
  <si>
    <t>Date</t>
  </si>
  <si>
    <t>Vendor</t>
  </si>
  <si>
    <t>Region</t>
  </si>
  <si>
    <t>Country</t>
  </si>
  <si>
    <t>Decaf</t>
  </si>
  <si>
    <t>Grams</t>
  </si>
  <si>
    <t>remaining</t>
  </si>
  <si>
    <t xml:space="preserve">Jamaica Blue Mountain                                                   </t>
  </si>
  <si>
    <t xml:space="preserve">GCBC                               </t>
  </si>
  <si>
    <t xml:space="preserve">Arntully, St. Thomas parish     </t>
  </si>
  <si>
    <t xml:space="preserve">Jamaica                         </t>
  </si>
  <si>
    <t xml:space="preserve"> </t>
  </si>
  <si>
    <t xml:space="preserve">Guatemala Huehuetenango (FTO)                                           </t>
  </si>
  <si>
    <t xml:space="preserve">CODECH Cooperative              </t>
  </si>
  <si>
    <t xml:space="preserve">Guatemala                       </t>
  </si>
  <si>
    <t xml:space="preserve">Kenya Coffee Kids - AA Lot                                              </t>
  </si>
  <si>
    <t xml:space="preserve">Cafe imports                       </t>
  </si>
  <si>
    <t xml:space="preserve">Africa                          </t>
  </si>
  <si>
    <t xml:space="preserve">Kenya                           </t>
  </si>
  <si>
    <t xml:space="preserve">Ethiopia Amaro Gayo                                                     </t>
  </si>
  <si>
    <t xml:space="preserve">Ethiopia                        </t>
  </si>
  <si>
    <t xml:space="preserve">Ethiopia Yirga Cheffe Kochere                                           </t>
  </si>
  <si>
    <t xml:space="preserve">Sweet Marias                       </t>
  </si>
  <si>
    <t xml:space="preserve">Kochere, Yirga Cheffe           </t>
  </si>
  <si>
    <t xml:space="preserve">Guatemala El Injerto - Special Prepped Quetzaltenango                   </t>
  </si>
  <si>
    <t xml:space="preserve">South America                   </t>
  </si>
  <si>
    <t xml:space="preserve">Hawaii Maui Mokka, size 11, DP                                          </t>
  </si>
  <si>
    <t xml:space="preserve">Hawaii                          </t>
  </si>
  <si>
    <t xml:space="preserve">Sumatra Lintong semi-washed                                             </t>
  </si>
  <si>
    <t xml:space="preserve">Indonesia                       </t>
  </si>
  <si>
    <t xml:space="preserve">Sumatra                         </t>
  </si>
  <si>
    <t xml:space="preserve">Peru SHG - wet process                                                  </t>
  </si>
  <si>
    <t xml:space="preserve">Peru                            </t>
  </si>
  <si>
    <t xml:space="preserve">Hawaii Kona Earth                                                       </t>
  </si>
  <si>
    <t xml:space="preserve">Brazil Moreninha Formosa                                                </t>
  </si>
  <si>
    <t xml:space="preserve">Brazil                          </t>
  </si>
  <si>
    <t xml:space="preserve">Yemen Mokha Ismaili                                                     </t>
  </si>
  <si>
    <t xml:space="preserve">Ismaili                         </t>
  </si>
  <si>
    <t xml:space="preserve">Yemen                           </t>
  </si>
  <si>
    <t xml:space="preserve">Yemen Mokha Sharasi                                                     </t>
  </si>
  <si>
    <t xml:space="preserve">Sharasi, Northern District      </t>
  </si>
  <si>
    <t xml:space="preserve">Costa Rica SHB EP Romelia                                               </t>
  </si>
  <si>
    <t xml:space="preserve">Central America                 </t>
  </si>
  <si>
    <t xml:space="preserve">Costa Rica                      </t>
  </si>
  <si>
    <t xml:space="preserve">Panama Elida Reserve Natural 2011                                       </t>
  </si>
  <si>
    <t xml:space="preserve">Klatch                             </t>
  </si>
  <si>
    <t xml:space="preserve">Panama                          </t>
  </si>
  <si>
    <t>Used some Harar for RSB #57 below</t>
  </si>
  <si>
    <t xml:space="preserve">Ethiopia Harar FTO - Oromia Coffee Farmers Cooperative Union            </t>
  </si>
  <si>
    <t xml:space="preserve">Espresso - Sweet Maria's New Classic Espresso                           </t>
  </si>
  <si>
    <t xml:space="preserve">Varies                          </t>
  </si>
  <si>
    <t xml:space="preserve">Brazil, El Salvador, Guatemala  </t>
  </si>
  <si>
    <t xml:space="preserve">Espresso - Sweet Maria's Liquid Amber Espresso Blend                    </t>
  </si>
  <si>
    <t>Secret</t>
  </si>
  <si>
    <t xml:space="preserve">Brazil Bob-O-Link                                                       </t>
  </si>
  <si>
    <t xml:space="preserve">Bodhi Leaf Coffee          </t>
  </si>
  <si>
    <t xml:space="preserve">Ethiopia Sidamo                                                         </t>
  </si>
  <si>
    <t xml:space="preserve">Theta Ridge                        </t>
  </si>
  <si>
    <t xml:space="preserve">El Salvador - Finca Santa Sofia                                         </t>
  </si>
  <si>
    <t xml:space="preserve">El Salvador                     </t>
  </si>
  <si>
    <t xml:space="preserve">Hawaii Maui Mokka, size 14, Natural Process                             </t>
  </si>
  <si>
    <t>Maui</t>
  </si>
  <si>
    <t xml:space="preserve">Mexico Organic Chiapas SHG                                              </t>
  </si>
  <si>
    <t xml:space="preserve">Mexico                          </t>
  </si>
  <si>
    <t xml:space="preserve">Rwanda Invozu                                                           </t>
  </si>
  <si>
    <t>Compass Coffee</t>
  </si>
  <si>
    <t xml:space="preserve">Rwanda                          </t>
  </si>
  <si>
    <t xml:space="preserve">Ethiopia Yirgacheffe Wote Konga - Natural                               </t>
  </si>
  <si>
    <t xml:space="preserve">Panama Elida Natural 2012                                               </t>
  </si>
  <si>
    <t xml:space="preserve">Panama Esmeralda Gesha - Mario Enero Lot                                </t>
  </si>
  <si>
    <t xml:space="preserve">Ethiopia Jimma SWP Decaf Blend                                          </t>
  </si>
  <si>
    <t xml:space="preserve">Jimma-Limu zone, West Ethiopia  </t>
  </si>
  <si>
    <t xml:space="preserve">Ethiopia Amaro Gayo FTO                                                 </t>
  </si>
  <si>
    <t xml:space="preserve">Roastmasters                       </t>
  </si>
  <si>
    <t>Ethiopian Yirgacheffe Grade 2 LOT 0267</t>
  </si>
  <si>
    <t>Panama Esmeralda Boquete Geisha</t>
  </si>
  <si>
    <t xml:space="preserve">El Salvador - Finca La Arada                      </t>
  </si>
  <si>
    <t>Monsooned Malabar AA 2011</t>
  </si>
  <si>
    <t>Asia</t>
  </si>
  <si>
    <t>India</t>
  </si>
  <si>
    <t>Pacamara WP, Finca Kassandra</t>
  </si>
  <si>
    <t>ORGANIC Bali Blue Moon - Wet Hulled</t>
  </si>
  <si>
    <t>Bali</t>
  </si>
  <si>
    <t>Indian Robusta, Sethuraman Estate</t>
  </si>
  <si>
    <t>Red Sea blend - Harar / Yirg LOT 0267 / Yemen Sharasi</t>
  </si>
  <si>
    <t>Mixed</t>
  </si>
  <si>
    <t>Colombia, Cauca - Inza Community</t>
  </si>
  <si>
    <t>Colombia</t>
  </si>
  <si>
    <t>Mexican Altura Chiapas, FTO, Biosphere Reserve</t>
  </si>
  <si>
    <t>Guatemala Ixil A'Achimbal</t>
  </si>
  <si>
    <t xml:space="preserve">Yemen Mokha Matari 2012                                            </t>
  </si>
  <si>
    <t>Matari</t>
  </si>
  <si>
    <t xml:space="preserve">Yemen Mokha Harasi 2012                                     </t>
  </si>
  <si>
    <t>Harasi</t>
  </si>
  <si>
    <t xml:space="preserve">Rwanda - Rulindo Bourbon                                                   </t>
  </si>
  <si>
    <t>Peru DECAF FTO 2012</t>
  </si>
  <si>
    <t>Honduras SHG Cerro Azul EP</t>
  </si>
  <si>
    <t>Honduras</t>
  </si>
  <si>
    <t>Java Daman Tadar</t>
  </si>
  <si>
    <t>Java</t>
  </si>
  <si>
    <t>Yemen Mokha Sharasi 2013</t>
  </si>
  <si>
    <t xml:space="preserve">Espresso - SM Monkey Blend         </t>
  </si>
  <si>
    <t xml:space="preserve">Espresso - SM New Classic Blend                    </t>
  </si>
  <si>
    <t>Sidamo Chelfit 2013</t>
  </si>
  <si>
    <t>Yemen Haraazi 2013</t>
  </si>
  <si>
    <t>Colombian, Huila - Alto Del Obispo 2013</t>
  </si>
  <si>
    <t>Bali Blue Moon Organic 2013</t>
  </si>
  <si>
    <t>Costa Rica La Pastora 2013</t>
  </si>
  <si>
    <t>Gedeo Worka 2013</t>
  </si>
  <si>
    <t>Sumatran Tiger 2013</t>
  </si>
  <si>
    <t>Costa Rica Cerro Paldo (Red Honey) 2013</t>
  </si>
  <si>
    <t>Kenya Muthuthiini 2013</t>
  </si>
  <si>
    <t>Yemen Red Cherry Haraazi 2013</t>
  </si>
  <si>
    <t>Brazil – Cocariva – Gancho microlot 2014</t>
  </si>
  <si>
    <t>Brazil</t>
  </si>
  <si>
    <t>Decaf - Ethiopian Sidamo, Water-Process 2013</t>
  </si>
  <si>
    <t>Ethiopia Deri Kochowa - Kifle Station 2104</t>
  </si>
  <si>
    <t>Ethiopia DP Gr. 1 YirgaCheffe Aricha 2014</t>
  </si>
  <si>
    <t>Guatemala Antigua 2014 - Santa Clara</t>
  </si>
  <si>
    <t>Ethiopia DP Yirgacheffe Adado 2014</t>
  </si>
  <si>
    <t>Ethiopian Sidamo, Bonko WP 2014</t>
  </si>
  <si>
    <t>Gedeo Worka 2014</t>
  </si>
  <si>
    <t>Bali Blue Moon Organic 2014</t>
  </si>
  <si>
    <t>Sumatra Lintong Triple Pick 2014</t>
  </si>
  <si>
    <t>Yirga Cheffe Gedeo WP 2014</t>
  </si>
  <si>
    <t>Mill City Roasters</t>
  </si>
  <si>
    <t>Sumatra, Gayo Mountain 2014, Bener Meriah</t>
  </si>
  <si>
    <t>Colombian Cauca 2014, Alto Capa Rosa</t>
  </si>
  <si>
    <t>Monsooned Malabar AA 2013</t>
  </si>
  <si>
    <t>Ethiopian Harrar 2014 Melasa Grade #1</t>
  </si>
  <si>
    <t>Rwanda Karenge-Rulindo SWP Decaf 2014</t>
  </si>
  <si>
    <t>Huila y Huehue SWP Decaf Blend 2014</t>
  </si>
  <si>
    <t>Guatemala SHB EP 2014 Antiqua "Sereno" GrainPro</t>
  </si>
  <si>
    <t>Yemen Red Marqaha 2014, Grade A+</t>
  </si>
  <si>
    <t>Marqaha</t>
  </si>
  <si>
    <t>Honduras Cerro Azul 2014</t>
  </si>
  <si>
    <t>El Salvador Potreo Grande 2014</t>
  </si>
  <si>
    <t>Costa Rica Rio Jorco 2014 "Los Lobos"</t>
  </si>
  <si>
    <t>Colombian Elias Finca El Azulejo 2014</t>
  </si>
  <si>
    <t>Panama Elida Natural 2014</t>
  </si>
  <si>
    <t>Rwanda Abakundakawa 2014</t>
  </si>
  <si>
    <t>Ethiopia Sidamo Ardi 2014</t>
  </si>
  <si>
    <t>Espresso Workshop #36 - Subiramo</t>
  </si>
  <si>
    <t>Yirga Cheffe Beriti 2014</t>
  </si>
  <si>
    <t>Papua New Guinea Kimel Estate Peaberry 2015</t>
  </si>
  <si>
    <t>Papua New Guinea</t>
  </si>
  <si>
    <t>Ethiopia Natural Wottona Bultuma Sidama 2015</t>
  </si>
  <si>
    <t>El Salvador Cerro Las Ranas 2016</t>
  </si>
  <si>
    <t>Uganda Chema Sipi Falls Organic 2015</t>
  </si>
  <si>
    <t>Uganda</t>
  </si>
  <si>
    <t>Colombia Timana Principales Lotes 2016</t>
  </si>
  <si>
    <t>Espresso Workshop #39 - Key of A</t>
  </si>
  <si>
    <t>Rwanda Abakundakawa 2015</t>
  </si>
  <si>
    <t>Panama Elida Natural 2016</t>
  </si>
  <si>
    <t>Sumatra Harimau Tiger 2016</t>
  </si>
  <si>
    <t>Yemen Haraaz Red Marqaha 2016</t>
  </si>
  <si>
    <t>Haraaz</t>
  </si>
  <si>
    <t>Costa Rica Yellow Honey 2016</t>
  </si>
  <si>
    <t>Ethiopia Sidamo Natural Guji 2016</t>
  </si>
  <si>
    <t>Ethiopia Galena Abaya Yirgacheffe 2016</t>
  </si>
  <si>
    <t>El Salvador Las Mercedes Pacamera Honey 2016</t>
  </si>
  <si>
    <t>Colombia Pink Bourbon Micro-Lot 2016</t>
  </si>
  <si>
    <t>Ethiopia Gedeo Worka 2016</t>
  </si>
  <si>
    <t>Guatemala Los Santos 2016</t>
  </si>
  <si>
    <t>Honduras Maya Royal Select MWP 2016 Decaf</t>
  </si>
  <si>
    <t>Panama Elida Natural 2017</t>
  </si>
  <si>
    <t>Bali Kintamani 2017</t>
  </si>
  <si>
    <t>Rwanda Abakundakawa 2017</t>
  </si>
  <si>
    <t>Leverhead Coffee</t>
  </si>
  <si>
    <t>Ethiopia Gutiti 2017</t>
  </si>
  <si>
    <t>Ethiopia Gedeo Worka 2017</t>
  </si>
  <si>
    <t>Ethiopia Sidamo WP 2017 Decaf</t>
  </si>
  <si>
    <t>Brazil Legender Estate Peaberry 2017</t>
  </si>
  <si>
    <t>Costa Rica - Tarrazu Micro-Lot 2017</t>
  </si>
  <si>
    <t>Indian Monsooned Malabar 2017</t>
  </si>
  <si>
    <t>Burman Coffee</t>
  </si>
  <si>
    <t>Colombia Cauca 2017</t>
  </si>
  <si>
    <t>Sidamo Chuchu 2017</t>
  </si>
  <si>
    <t>Guatemala Huehuetenango El Injertal 2017</t>
  </si>
  <si>
    <t>El Salvador Finca Buenos Aires Natural 2017</t>
  </si>
  <si>
    <t>Yemen Al-Haymah Rooftop Raised Bed Natural 2017</t>
  </si>
  <si>
    <t>Royal coffee</t>
  </si>
  <si>
    <t>Nicaragua Pueblo Nuevo Donal Canales 2017</t>
  </si>
  <si>
    <t>Nicaragua</t>
  </si>
  <si>
    <t>Myanmar Shwe Padauk (GP) 2017</t>
  </si>
  <si>
    <t>Southeast Asia</t>
  </si>
  <si>
    <t>Myanmar</t>
  </si>
  <si>
    <t>Rwanda Abakundakawa 2018</t>
  </si>
  <si>
    <t>Sumatra Harimau Tiger 2018</t>
  </si>
  <si>
    <t>Ethiopia Hambela Guji Oromia Guracho 2018</t>
  </si>
  <si>
    <t>Brazil Legender Estate Pea-B 2018</t>
  </si>
  <si>
    <t>Costa Rica - La Pastora Tarrazu 2018</t>
  </si>
  <si>
    <t>Organic Ethiopian Sidamo WP 2018 Decaf</t>
  </si>
  <si>
    <t>Ethiopia Yirgacheffe Reko 2018</t>
  </si>
  <si>
    <t>Yemen Mocca Ismaili Natural 2018</t>
  </si>
  <si>
    <t>Coffee Bean corral</t>
  </si>
  <si>
    <t>Nicaragua Organic Jinotega Finca La Isabelia 2018</t>
  </si>
  <si>
    <t>Yemen Mokha Matari 2019</t>
  </si>
  <si>
    <t>Panama Elida Natural 2019</t>
  </si>
  <si>
    <t>Organic Ethiopian Sidamo 2019 WP Decaf</t>
  </si>
  <si>
    <t>Rwanda Nyamasheke 2020 SWP Decaf</t>
  </si>
  <si>
    <t>Burundi Collines 2020 SWP Decaf</t>
  </si>
  <si>
    <t>Burundi</t>
  </si>
  <si>
    <t>Ethiopia Organic Sidama Keramo 2020</t>
  </si>
  <si>
    <t>Rwanda Abakundakawa 2020</t>
  </si>
  <si>
    <t>Sumatra Mandheling Takengon 2020</t>
  </si>
  <si>
    <t>Colombia Nariño Organic 2020</t>
  </si>
  <si>
    <t>El Salvador Las Mercedes Caturra 2020</t>
  </si>
  <si>
    <t>Guatemala Antigua Hunapu Micro Lot 2020</t>
  </si>
  <si>
    <t>Indian Monsooned Malabar 2020</t>
  </si>
  <si>
    <t>Ethiopian Guji Natural - Shakiso 2020</t>
  </si>
  <si>
    <t>Panama Elida Natural 2020</t>
  </si>
  <si>
    <t>Uganda Sipi Falls Organic 2020</t>
  </si>
  <si>
    <t>Ethiopia Yirgacheffe BedHatu Washed 2021</t>
  </si>
  <si>
    <t>Yemen Mokha Matari 2021</t>
  </si>
  <si>
    <t>Guatemala Cafeteros SWP Decaf 2021</t>
  </si>
  <si>
    <t>Ethiopia Gera-Goma SWP Decaf 2021</t>
  </si>
  <si>
    <t>DP Idido Desalegn Hijo 2022</t>
  </si>
  <si>
    <t>Costa Rica La Pradera SWP Decaf 2022</t>
  </si>
  <si>
    <t>Ethiopia Organic Yebuna Terara SWP Decaf 2022</t>
  </si>
  <si>
    <t>Guatemala Antigua Jauja Rosario washed 2022</t>
  </si>
  <si>
    <t>Hacea</t>
  </si>
  <si>
    <t>Rwanda Nyamasheke Cyesha Natural 2022</t>
  </si>
  <si>
    <t>Captain's Coffee</t>
  </si>
  <si>
    <t>Costa Rica Tarrazu La Pastora 2022</t>
  </si>
  <si>
    <t>Ethiopia Sidama Bensa Keramo Washed 2022</t>
  </si>
  <si>
    <t>roast size</t>
  </si>
  <si>
    <t>Use Control-Shift-R to insert new roast log at top of list</t>
  </si>
  <si>
    <t>COPY / EDIT for SCREEN CAPTURES</t>
  </si>
  <si>
    <t>Remove all highlighting first!</t>
  </si>
  <si>
    <t>Load</t>
  </si>
  <si>
    <t>Roast #1</t>
  </si>
  <si>
    <t>220g</t>
  </si>
  <si>
    <t>Load beans at ET 275º F</t>
  </si>
  <si>
    <t>2C outliers</t>
  </si>
  <si>
    <t>BT 280</t>
  </si>
  <si>
    <t>BT 325</t>
  </si>
  <si>
    <t>Milestone</t>
  </si>
  <si>
    <t>Very Sparse</t>
  </si>
  <si>
    <t>1st crack</t>
  </si>
  <si>
    <t>1C + :30</t>
  </si>
  <si>
    <t>1C + 1:00</t>
  </si>
  <si>
    <t>1C + 1:30</t>
  </si>
  <si>
    <t>1C + 1:45</t>
  </si>
  <si>
    <t>Display temp</t>
  </si>
  <si>
    <t xml:space="preserve">Time </t>
  </si>
  <si>
    <t>Fan Speed</t>
  </si>
  <si>
    <t>Heat level</t>
  </si>
  <si>
    <t>Roast 1 of 2 - stop at 1C + 25</t>
  </si>
  <si>
    <t>Keep variac at 119</t>
  </si>
  <si>
    <t>New Hottop B-2K+</t>
  </si>
  <si>
    <t>Roast #2</t>
  </si>
  <si>
    <t>240g</t>
  </si>
  <si>
    <t>2C starts</t>
  </si>
  <si>
    <t>1C + 2:00</t>
  </si>
  <si>
    <t>1C + 2:15</t>
  </si>
  <si>
    <t>1C + 2:30</t>
  </si>
  <si>
    <t>Roast 2 of 2 - 1C + 25 + 0:15 AND 0:30</t>
  </si>
  <si>
    <t>When temp reached, start 15 sec timer, and start stirrer too</t>
  </si>
  <si>
    <t>Temp target equals</t>
  </si>
  <si>
    <t>Timer ends - restart it, open door for 3 seconds, then close</t>
  </si>
  <si>
    <r>
      <t xml:space="preserve">Melange roast at </t>
    </r>
    <r>
      <rPr>
        <b/>
        <sz val="12"/>
        <rFont val="Times New Roman"/>
        <family val="1"/>
      </rPr>
      <t>1C+25</t>
    </r>
    <r>
      <rPr>
        <sz val="12"/>
        <rFont val="Times New Roman"/>
        <family val="1"/>
      </rPr>
      <t xml:space="preserve"> then :15 and :15</t>
    </r>
  </si>
  <si>
    <t>New HOTTOP - use buttons for stirrer / door open</t>
  </si>
  <si>
    <t>Timer ends - now click on DROP</t>
  </si>
  <si>
    <t>204g</t>
  </si>
  <si>
    <t>Load beans at ET 300º F</t>
  </si>
  <si>
    <t>rehydrated</t>
  </si>
  <si>
    <t>BT 330</t>
  </si>
  <si>
    <t>1C + 1:15</t>
  </si>
  <si>
    <t>OFF</t>
  </si>
  <si>
    <t>EJECT</t>
  </si>
  <si>
    <t>Need to stop roast at 1C + 17 / 1:15</t>
  </si>
  <si>
    <t>Keep variac at 120</t>
  </si>
  <si>
    <t>2ND roast</t>
  </si>
  <si>
    <t>195g</t>
  </si>
  <si>
    <t>Display temp 402-384=18 degrees</t>
  </si>
  <si>
    <t>Stop roast at 1C + 24 / 1:30</t>
  </si>
  <si>
    <t>3RD roast</t>
  </si>
  <si>
    <t>Stop roast at 1C + 20 / 1:30</t>
  </si>
  <si>
    <t>Tasted 12/15 - very good</t>
  </si>
  <si>
    <t>Next time use 90 / 80 / 60 / OFF</t>
  </si>
  <si>
    <t>Load beans at ET 325º F</t>
  </si>
  <si>
    <t>Very SOFT</t>
  </si>
  <si>
    <t>Tasted 12/15 -  good</t>
  </si>
  <si>
    <t>Next time stop at 1C + 18</t>
  </si>
  <si>
    <t>Next time use 90 / 70 / 50 / OFF</t>
  </si>
  <si>
    <t>215g</t>
  </si>
  <si>
    <t>Stop roast at 1C + 28 / 2:00</t>
  </si>
  <si>
    <t>Very good coffee</t>
  </si>
  <si>
    <t>sparse / sporadic</t>
  </si>
  <si>
    <t>Tasted 01/03 - great coffee</t>
  </si>
  <si>
    <t>Stop roast at 1C + 22 / 1:30</t>
  </si>
  <si>
    <t>Variac 119 - Needs aging for 8 days</t>
  </si>
  <si>
    <t>3rd roast</t>
  </si>
  <si>
    <t>Soft / Sparse</t>
  </si>
  <si>
    <t>Keep variac at 120 - all roasts</t>
  </si>
  <si>
    <t>BT 335</t>
  </si>
  <si>
    <t>very sparse / sporadic</t>
  </si>
  <si>
    <t>Stop roast at 1C + 24 / 2:00</t>
  </si>
  <si>
    <t>Stop roast at 1C + 30 / 2:00</t>
  </si>
  <si>
    <t>2nd roast</t>
  </si>
  <si>
    <t>Tasted 11/18 - great coffee!</t>
  </si>
  <si>
    <t>Need to roast to 2:00 / 1C + 24</t>
  </si>
  <si>
    <t>Next time use +23</t>
  </si>
  <si>
    <t xml:space="preserve">   </t>
  </si>
  <si>
    <t>at 1:05</t>
  </si>
  <si>
    <t>1C much earlier - VERY soft</t>
  </si>
  <si>
    <t>at 1:40</t>
  </si>
  <si>
    <t>at 1:20</t>
  </si>
  <si>
    <t>Tasted 01/03 - good coffee</t>
  </si>
  <si>
    <t>205g</t>
  </si>
  <si>
    <t>1ST roast</t>
  </si>
  <si>
    <t>Stop roast at 1C + 26 / 2:15</t>
  </si>
  <si>
    <t>Pretty good - try 1C+25 next time</t>
  </si>
  <si>
    <t>BT 373</t>
  </si>
  <si>
    <t>OOPS - NO Drop button (new laptop)</t>
  </si>
  <si>
    <t>UGH - over roasted, try 1C+20</t>
  </si>
  <si>
    <t>at 1:55</t>
  </si>
  <si>
    <t>Stop roast at 1C + 18 / 1:45</t>
  </si>
  <si>
    <t>Pretty good, maybe too fast</t>
  </si>
  <si>
    <t>Try 90 / 70 / 60 and 1C +16 next time</t>
  </si>
  <si>
    <t>Final roast</t>
  </si>
  <si>
    <t>Finallly - great coffee</t>
  </si>
  <si>
    <t>Next time stop at 1C+24</t>
  </si>
  <si>
    <t>OOPS - accidentally ejected beans, then had to load some back into roaster!</t>
  </si>
  <si>
    <t>Last roast</t>
  </si>
  <si>
    <t>Stop roast at 1C + 26 / 1:45</t>
  </si>
  <si>
    <t>tasted 11/28 - great coffee</t>
  </si>
  <si>
    <t>Very Soft</t>
  </si>
  <si>
    <t>Next time, stop at 1C + 25</t>
  </si>
  <si>
    <t>at 1:25</t>
  </si>
  <si>
    <t>Assume 16% hydration goal</t>
  </si>
  <si>
    <t>Assume 12% hydration currently</t>
  </si>
  <si>
    <t>215 = X(1-12%)/(1-16%)</t>
  </si>
  <si>
    <t>X = 205.2=215(.84/.88)</t>
  </si>
  <si>
    <t>Add 9.8 g water, store overnight</t>
  </si>
  <si>
    <t>final roast</t>
  </si>
  <si>
    <t>Stop roast at 1C + 30 / 2:15</t>
  </si>
  <si>
    <t>Changed to 1C + 30</t>
  </si>
  <si>
    <t>Need to stop roast at 1C + 25 / 1:45</t>
  </si>
  <si>
    <t>Good coffee</t>
  </si>
  <si>
    <t>235g</t>
  </si>
  <si>
    <t>Stop roast at 1C + 25 / 2:30</t>
  </si>
  <si>
    <t>TOO SLOW!!</t>
  </si>
  <si>
    <t>New Hottop - use 20% at 1C + 1:00</t>
  </si>
  <si>
    <t>1st roast</t>
  </si>
  <si>
    <t>Stop roast at 1C + 22 / 1:45</t>
  </si>
  <si>
    <t>Seems over-roasted</t>
  </si>
  <si>
    <t>Next time 1C+18 and 90 / 80 / 70</t>
  </si>
  <si>
    <t>230g</t>
  </si>
  <si>
    <t>at 1:45</t>
  </si>
  <si>
    <t>at 1:35</t>
  </si>
  <si>
    <t>NOT that good - use prior roast profile instead</t>
  </si>
  <si>
    <t>Need to stop roast at 1C + 15 / 1:15</t>
  </si>
  <si>
    <t>Use 90 / 70 / 40</t>
  </si>
  <si>
    <t>first roast</t>
  </si>
  <si>
    <t>Roasted too far, maybe too fast!</t>
  </si>
  <si>
    <t>Next time use 90 / 70 /70 /50</t>
  </si>
  <si>
    <t>Roast to 1:30 or 1C+21</t>
  </si>
  <si>
    <t>Latte Lovers Leftovers Blend - 6</t>
  </si>
  <si>
    <t xml:space="preserve"> 2C outliers</t>
  </si>
  <si>
    <t>Stop roast at 1C + 34 / 2:15</t>
  </si>
  <si>
    <t>Only needs aging for 4 days</t>
  </si>
  <si>
    <t>Really great tasting blend!</t>
  </si>
  <si>
    <t>Tasted 10/08/20 - great coffee</t>
  </si>
  <si>
    <t>OOPS</t>
  </si>
  <si>
    <t>Decaf blend - Leftovers</t>
  </si>
  <si>
    <t>auto-dropped!!</t>
  </si>
  <si>
    <t>at 1:50</t>
  </si>
  <si>
    <t>at 2:25</t>
  </si>
  <si>
    <t>Next time - roast to 1C + 15</t>
  </si>
  <si>
    <t>03/2023 Still tastes bitter</t>
  </si>
  <si>
    <t>Tasted 08/10 - very nice coffee</t>
  </si>
  <si>
    <t>Great coffee</t>
  </si>
  <si>
    <t>next roast - changing to old Hottop</t>
  </si>
  <si>
    <t>Next time - try 50 / 30 / OFF</t>
  </si>
  <si>
    <t>LAST roast</t>
  </si>
  <si>
    <t>VERY sparse</t>
  </si>
  <si>
    <t>Roast 1 of 2 - stop at 1C + 27</t>
  </si>
  <si>
    <t>1C warning - too early!!</t>
  </si>
  <si>
    <t>Roast 2 of 2 - 1C + 27 + 0:15 AND 0:30</t>
  </si>
  <si>
    <r>
      <t xml:space="preserve">Melange roast at </t>
    </r>
    <r>
      <rPr>
        <b/>
        <sz val="12"/>
        <rFont val="Times New Roman"/>
        <family val="1"/>
      </rPr>
      <t>1C+27</t>
    </r>
    <r>
      <rPr>
        <sz val="12"/>
        <rFont val="Times New Roman"/>
        <family val="1"/>
      </rPr>
      <t xml:space="preserve"> then :15 and :15</t>
    </r>
  </si>
  <si>
    <t>TOO slow - Try 90 / 80 / 70 next time</t>
  </si>
  <si>
    <t>Tastes over-roasted</t>
  </si>
  <si>
    <t>Stop roast at 1C + 26 / 1:30</t>
  </si>
  <si>
    <t>Next time stop at 1C+26, use 90/70/50</t>
  </si>
  <si>
    <t>Next time use 70 / 60 / 50</t>
  </si>
  <si>
    <t>Note - new Hottop uses 40 / 30</t>
  </si>
  <si>
    <t>Need to stop roast at 1C + 30 / 2:30</t>
  </si>
  <si>
    <t>Tasted 07/18 - great coffee!</t>
  </si>
  <si>
    <t>BT 320</t>
  </si>
  <si>
    <t>Stop roast at 1C + 21 / 2:00</t>
  </si>
  <si>
    <t>TC4 Flakey - loose connection - use 01-05-22 roast profile instead!</t>
  </si>
  <si>
    <t>at 1:40 - OOPS</t>
  </si>
  <si>
    <t>MANUAL - TOO SLOW</t>
  </si>
  <si>
    <t>Too slow - try 90 / 80 / 70 next time</t>
  </si>
  <si>
    <t>bLeNdEr</t>
  </si>
  <si>
    <t>Tasted 12/27 - excellent coffee</t>
  </si>
  <si>
    <t>Stop roast at 1C + 19 / 1:15</t>
  </si>
  <si>
    <t>Stop roast at 1C + 28 / 1:45</t>
  </si>
  <si>
    <t>Next time use 50% at FC+1:00</t>
  </si>
  <si>
    <t>Laptop crashed after 3 minutes, coffee re-roasted</t>
  </si>
  <si>
    <t>Use 02-05-22 roast instead</t>
  </si>
  <si>
    <t>1C warning is TOO late</t>
  </si>
  <si>
    <t>MANUAL</t>
  </si>
  <si>
    <t>1C STILL too fast with load of 230</t>
  </si>
  <si>
    <t xml:space="preserve">Next time try 90 / 70 </t>
  </si>
  <si>
    <t>Changed alarm to adjust heater first at 335</t>
  </si>
  <si>
    <t>TOO SLOW</t>
  </si>
  <si>
    <t>Next time use 70%</t>
  </si>
  <si>
    <t>Next time - 40% at 1C + 1:00</t>
  </si>
  <si>
    <t>at 1:15</t>
  </si>
  <si>
    <t>N/A</t>
  </si>
  <si>
    <t>Stop roast at 1C + 27 / 2:15</t>
  </si>
  <si>
    <t>Not quite right - maybe under-roasted</t>
  </si>
  <si>
    <t>at 1:10</t>
  </si>
  <si>
    <t>NOTE  -  1C warning TOO late</t>
  </si>
  <si>
    <t>1C is way too fast - increase load???</t>
  </si>
  <si>
    <t>Change alarm to adjust heater first at 335</t>
  </si>
  <si>
    <t>tasted 02/2020 - Great coffee</t>
  </si>
  <si>
    <t>BT 376</t>
  </si>
  <si>
    <t>BT 370</t>
  </si>
  <si>
    <t>BT 366</t>
  </si>
  <si>
    <t>HUGE delta 1C temp versus prior roast</t>
  </si>
  <si>
    <t>BT 361</t>
  </si>
  <si>
    <t>BT 368</t>
  </si>
  <si>
    <t>Tasted 10/30 - very good coffee</t>
  </si>
  <si>
    <t>BT 363</t>
  </si>
  <si>
    <t>slow start</t>
  </si>
  <si>
    <t>Stop roast at 1C + 33 / 2:00</t>
  </si>
  <si>
    <t>Next time use 80 / 60 / 40</t>
  </si>
  <si>
    <t>Next time stop at 1C + 30</t>
  </si>
  <si>
    <t>BT 355</t>
  </si>
  <si>
    <t>VERy different 1C temp than prior roast</t>
  </si>
  <si>
    <t>Seems flat, try 1C + 24 next time</t>
  </si>
  <si>
    <t>BT 372</t>
  </si>
  <si>
    <t>BT 369</t>
  </si>
  <si>
    <t>slow to start</t>
  </si>
  <si>
    <t>Third roast</t>
  </si>
  <si>
    <t>BT 360</t>
  </si>
  <si>
    <t>Stop roast at 1C + 27 / 1:30</t>
  </si>
  <si>
    <t>Faster roast - good coffee</t>
  </si>
  <si>
    <t>BT 374</t>
  </si>
  <si>
    <t>BT 384</t>
  </si>
  <si>
    <t>3nd roast</t>
  </si>
  <si>
    <t>BT 375</t>
  </si>
  <si>
    <t>BT 365</t>
  </si>
  <si>
    <t>BT 381</t>
  </si>
  <si>
    <t>Go back to  alarm file-1</t>
  </si>
  <si>
    <t>NOTE - 1C probably earlier than 376!</t>
  </si>
  <si>
    <t>too fast?!</t>
  </si>
  <si>
    <t>Roast 1 of 2</t>
  </si>
  <si>
    <t>at 2:10</t>
  </si>
  <si>
    <t>SLOW-Messed up initial fan settings at start of roast</t>
  </si>
  <si>
    <t>Roast 2 of 2</t>
  </si>
  <si>
    <t>BT 387</t>
  </si>
  <si>
    <t>BT 382</t>
  </si>
  <si>
    <t>BT 377</t>
  </si>
  <si>
    <t>Latte Lovers Leftovers Blend - 7</t>
  </si>
  <si>
    <t>190g</t>
  </si>
  <si>
    <t>My error - thought I was roasting 2018 Sumatra</t>
  </si>
  <si>
    <t>397 at 1:40</t>
  </si>
  <si>
    <t>Not as good as earlier roast!</t>
  </si>
  <si>
    <t>Go back to prior alarm file</t>
  </si>
  <si>
    <t>BT 367</t>
  </si>
  <si>
    <t>Stop roast at 1C + 23 / 2:00</t>
  </si>
  <si>
    <t>Tasted 02/12 - next time try 1C + 21</t>
  </si>
  <si>
    <t>tasted 02/2020 - good coffee</t>
  </si>
  <si>
    <t>First roast</t>
  </si>
  <si>
    <t>BIG drop in ROR at 1C+1:00</t>
  </si>
  <si>
    <t>Maybe 50 / 50 / 30 / OFF</t>
  </si>
  <si>
    <t>Second roast</t>
  </si>
  <si>
    <t>BT 362</t>
  </si>
  <si>
    <t>Need to stop roast at 1C + 28 / 1:45</t>
  </si>
  <si>
    <t>Tasted 02/13 - next time try 1C + 25</t>
  </si>
  <si>
    <t>Change to use 1st alarm file</t>
  </si>
  <si>
    <t>But something is lacking - try 70 / 70</t>
  </si>
  <si>
    <t>Probably roasted TOO far</t>
  </si>
  <si>
    <t>Stop roast at 1C + 33 / 1:30</t>
  </si>
  <si>
    <t>Big ROR spike at 1C + 30</t>
  </si>
  <si>
    <t>Next time reduce heat to 60% at 1C</t>
  </si>
  <si>
    <t>at 2:05</t>
  </si>
  <si>
    <t>Try 90 / 80 then 50 / OFF</t>
  </si>
  <si>
    <t>VERY flakey-loose thermocouple</t>
  </si>
  <si>
    <t>Use 09/2020 roast for background!!!</t>
  </si>
  <si>
    <t>BT 380</t>
  </si>
  <si>
    <t>tasted 11/29 - very good coffee</t>
  </si>
  <si>
    <t>Need to roast to 2:00 / 1C + 29</t>
  </si>
  <si>
    <t>Next time, roast to 1C + 24</t>
  </si>
  <si>
    <t>Next time, try 90 / 90 / 80</t>
  </si>
  <si>
    <t>398 at 1:35</t>
  </si>
  <si>
    <t>Stop roast at 1C + 25 / 2:00</t>
  </si>
  <si>
    <t>Next time - roast to 1C + 23 / 1:30</t>
  </si>
  <si>
    <t>tasted 02/15 - good coffee</t>
  </si>
  <si>
    <t>too late</t>
  </si>
  <si>
    <t>Try 90 / 80 / 70 / 50 / OFF next time</t>
  </si>
  <si>
    <t>4::20</t>
  </si>
  <si>
    <t>Next time, stop at 1C + 22</t>
  </si>
  <si>
    <t>Use 20% at 1:30 next time</t>
  </si>
  <si>
    <t>Stop roast at 1C + 23 / 1:30</t>
  </si>
  <si>
    <t>BT 378</t>
  </si>
  <si>
    <t>Tasted 12/30 - very good coffee</t>
  </si>
  <si>
    <t>Tasted 06/03 - very nice coffee</t>
  </si>
  <si>
    <t>Tasted 04/04 - great coffee</t>
  </si>
  <si>
    <t>Silent 1st crack!</t>
  </si>
  <si>
    <t>Tasted 02/26 - good coffee</t>
  </si>
  <si>
    <t>Tasted 03/30 - great coffee</t>
  </si>
  <si>
    <t>1C warning - too early</t>
  </si>
  <si>
    <t>BT 371</t>
  </si>
  <si>
    <t>Stop roast at 1C + 19 / 1:30</t>
  </si>
  <si>
    <t>Stop roast at 1C + 27 / 2:00</t>
  </si>
  <si>
    <t>Tasted 01/30 - very nice coffee</t>
  </si>
  <si>
    <t>BT 359</t>
  </si>
  <si>
    <t>1C + 2:45</t>
  </si>
  <si>
    <t>Faster roast than normal - Auto charge failed, so I ejected and re-roasted this time</t>
  </si>
  <si>
    <t>BT 385</t>
  </si>
  <si>
    <t xml:space="preserve">silent!! </t>
  </si>
  <si>
    <t>check alarm file - did not happen!!</t>
  </si>
  <si>
    <t>Tasted 01/24 - Good coffee</t>
  </si>
  <si>
    <t>Tasted 02/15 - Great coffee!</t>
  </si>
  <si>
    <t>NOYE - 1C probably earlier than 376!</t>
  </si>
  <si>
    <t>Confused re: exactly when 1C started</t>
  </si>
  <si>
    <t>WOW - too fast!</t>
  </si>
  <si>
    <t>BT 379</t>
  </si>
  <si>
    <t>change alarms - 90 / 70 / 60</t>
  </si>
  <si>
    <t>BT 383</t>
  </si>
  <si>
    <t>Too fast - Next time try 90 / 50 / 30</t>
  </si>
  <si>
    <t>STILL Too fast - use 90 / 60 / 50 next time</t>
  </si>
  <si>
    <t>Stop roast at 1C + 23 / 1:45</t>
  </si>
  <si>
    <t>Tasted 01/10 - very good coffee</t>
  </si>
  <si>
    <t>Next time - roast to 1C + 25</t>
  </si>
  <si>
    <t>Keep variac at 120 (stopped working)</t>
  </si>
  <si>
    <t>Try 80 / 50 / OFF next time</t>
  </si>
  <si>
    <t>change alarm file!</t>
  </si>
  <si>
    <t>Keep variac at 119 (stopped working)</t>
  </si>
  <si>
    <t>Stop roast at 1C + 29 / 2:15</t>
  </si>
  <si>
    <t>Next time use 90 / 80 / 60, and 1C+27</t>
  </si>
  <si>
    <t>Tastes flat, need to roast less 1C+19</t>
  </si>
  <si>
    <t>Still TOO fast, try 70 / 40</t>
  </si>
  <si>
    <t>Beware - auto charge failed AGAIN</t>
  </si>
  <si>
    <t>WAY too slow</t>
  </si>
  <si>
    <t>Too fast - se 90 / 70 / 50 next time</t>
  </si>
  <si>
    <t>VERY fast roast - unusual ROR spike</t>
  </si>
  <si>
    <t>388 at 1:50</t>
  </si>
  <si>
    <t>Tasted 03/21 - Great coffee</t>
  </si>
  <si>
    <t>Not great - bitter and under-developed</t>
  </si>
  <si>
    <t>FIRST roast</t>
  </si>
  <si>
    <t>BT 356</t>
  </si>
  <si>
    <t>1C + 3:00</t>
  </si>
  <si>
    <t>1C + 3:30</t>
  </si>
  <si>
    <t>Next time use 90 / 80 / 70, no OFF/OFF</t>
  </si>
  <si>
    <t>BT 364</t>
  </si>
  <si>
    <t>TOO fast on new Hottop - use 90 / 70 / 60</t>
  </si>
  <si>
    <t>A bit too fast on Old Hottop!!</t>
  </si>
  <si>
    <t>Next time try 90 / 50 / 40</t>
  </si>
  <si>
    <t>WAY too fast on Old Hottop!!</t>
  </si>
  <si>
    <t>BT 388</t>
  </si>
  <si>
    <t>Tasted 01/30 - pretty good coffee</t>
  </si>
  <si>
    <t>Maybe TOO fast!</t>
  </si>
  <si>
    <t>First crack</t>
  </si>
  <si>
    <t>Yield</t>
  </si>
  <si>
    <t>189g</t>
  </si>
  <si>
    <t>HOTTOP - buttons for stirrer / door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</si>
</sst>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/dd/yy;@"/>
    <numFmt numFmtId="166" formatCode="0.0%"/>
  </numFmts>
  <fonts count="11" x14ac:knownFonts="1"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92D050"/>
      <name val="Times New Roman"/>
      <family val="1"/>
    </font>
    <font>
      <sz val="9"/>
      <color indexed="81"/>
      <name val="Tahoma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2" fontId="0" fillId="0" borderId="0" xfId="0" applyNumberFormat="1"/>
    <xf numFmtId="20" fontId="0" fillId="0" borderId="0" xfId="0" applyNumberFormat="1"/>
    <xf numFmtId="0" fontId="0" fillId="2" borderId="0" xfId="0" applyFill="1"/>
    <xf numFmtId="20" fontId="5" fillId="0" borderId="0" xfId="0" applyNumberFormat="1" applyFont="1"/>
    <xf numFmtId="0" fontId="1" fillId="0" borderId="0" xfId="0" applyFont="1" applyAlignment="1">
      <alignment horizontal="center" vertical="top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166" fontId="0" fillId="0" borderId="0" xfId="1" applyNumberFormat="1" applyFont="1" applyAlignment="1"/>
    <xf numFmtId="0" fontId="2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top"/>
    </xf>
    <xf numFmtId="0" fontId="1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20" fontId="1" fillId="0" borderId="1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2" borderId="0" xfId="0" quotePrefix="1" applyFont="1" applyFill="1"/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1" fillId="2" borderId="0" xfId="0" applyFont="1" applyFill="1"/>
    <xf numFmtId="0" fontId="8" fillId="2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1" fillId="0" borderId="0" xfId="1" applyNumberFormat="1" applyFont="1" applyAlignme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6" fillId="3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quotePrefix="1" applyFont="1"/>
    <xf numFmtId="0" fontId="2" fillId="3" borderId="0" xfId="0" applyFont="1" applyFill="1" applyAlignment="1">
      <alignment vertical="top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0" fontId="1" fillId="3" borderId="1" xfId="0" applyFont="1" applyFill="1" applyBorder="1" applyAlignment="1">
      <alignment vertical="top"/>
    </xf>
    <xf numFmtId="0" fontId="7" fillId="3" borderId="0" xfId="0" applyFont="1" applyFill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20" fontId="1" fillId="3" borderId="1" xfId="0" applyNumberFormat="1" applyFont="1" applyFill="1" applyBorder="1" applyAlignment="1">
      <alignment horizontal="center" vertical="top"/>
    </xf>
    <xf numFmtId="9" fontId="1" fillId="3" borderId="1" xfId="0" applyNumberFormat="1" applyFont="1" applyFill="1" applyBorder="1" applyAlignment="1">
      <alignment horizontal="center" vertical="top"/>
    </xf>
    <xf numFmtId="0" fontId="2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166" fontId="0" fillId="3" borderId="0" xfId="1" applyNumberFormat="1" applyFont="1" applyFill="1" applyAlignment="1"/>
    <xf numFmtId="0" fontId="0" fillId="0" borderId="0" xfId="0" applyAlignment="1">
      <alignment horizontal="left"/>
    </xf>
    <xf numFmtId="0" fontId="2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20" fontId="9" fillId="3" borderId="0" xfId="0" applyNumberFormat="1" applyFont="1" applyFill="1"/>
    <xf numFmtId="0" fontId="9" fillId="3" borderId="0" xfId="0" applyFont="1" applyFill="1" applyAlignment="1">
      <alignment horizontal="right"/>
    </xf>
    <xf numFmtId="9" fontId="2" fillId="0" borderId="1" xfId="0" applyNumberFormat="1" applyFont="1" applyBorder="1" applyAlignment="1">
      <alignment horizontal="center" vertical="top"/>
    </xf>
    <xf numFmtId="0" fontId="2" fillId="3" borderId="0" xfId="0" applyFont="1" applyFill="1" applyAlignment="1">
      <alignment horizontal="left"/>
    </xf>
    <xf numFmtId="0" fontId="9" fillId="0" borderId="0" xfId="0" applyFont="1"/>
    <xf numFmtId="0" fontId="2" fillId="3" borderId="0" xfId="0" applyFont="1" applyFill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0" fontId="10" fillId="0" borderId="0" xfId="0" applyFont="1"/>
  </cellXfs>
  <cellStyles count="2">
    <cellStyle name="Normal" xfId="0" builtinId="0"/>
    <cellStyle name="Percent 2" xfId="1" xr:uid="{917F0CA9-4607-4CF5-BCD3-769793593D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635000</xdr:colOff>
      <xdr:row>4761</xdr:row>
      <xdr:rowOff>25400</xdr:rowOff>
    </xdr:from>
    <xdr:to>
      <xdr:col>13</xdr:col>
      <xdr:colOff>127000</xdr:colOff>
      <xdr:row>4770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20DA198-DF90-48F7-B03C-540705CF7ACB}"/>
            </a:ext>
          </a:extLst>
        </xdr:cNvPr>
        <xdr:cNvSpPr txBox="1"/>
      </xdr:nvSpPr>
      <xdr:spPr>
        <a:xfrm>
          <a:off x="1638300" y="917702000"/>
          <a:ext cx="7937500" cy="167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4000"/>
            <a:t>ARTISAN</a:t>
          </a:r>
          <a:r>
            <a:rPr lang="en-US" sz="4000" baseline="0"/>
            <a:t> FAILURE - no AUTO CHARGE</a:t>
          </a:r>
          <a:endParaRPr lang="en-US" sz="4000"/>
        </a:p>
      </xdr:txBody>
    </xdr:sp>
    <xdr:clientData/>
  </xdr:twoCellAnchor>
  <xdr:twoCellAnchor>
    <xdr:from>
      <xdr:col>2</xdr:col>
      <xdr:colOff>57150</xdr:colOff>
      <xdr:row>1916</xdr:row>
      <xdr:rowOff>25400</xdr:rowOff>
    </xdr:from>
    <xdr:to>
      <xdr:col>6</xdr:col>
      <xdr:colOff>0</xdr:colOff>
      <xdr:row>1918</xdr:row>
      <xdr:rowOff>120650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24897CF-4ED1-4D33-B135-821CD00EE2C6}"/>
            </a:ext>
          </a:extLst>
        </xdr:cNvPr>
        <xdr:cNvSpPr txBox="1"/>
      </xdr:nvSpPr>
      <xdr:spPr>
        <a:xfrm>
          <a:off x="1060450" y="392468100"/>
          <a:ext cx="2863850" cy="48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Laptop crashed after 3 minutes. Had to restart roast = Much faster timing than usual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Data\Coffee\Hottop\Hottop%20Roast%20logs.xlsm" TargetMode="External"/><Relationship Id="rId1" Type="http://schemas.openxmlformats.org/officeDocument/2006/relationships/externalLinkPath" Target="/Data/Coffee/Hottop/Hottop%20Roast%20log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ookup Tables"/>
      <sheetName val="cvt_alarm"/>
      <sheetName val="Roast Logs"/>
      <sheetName val="Roast History"/>
      <sheetName val="Inventory"/>
      <sheetName val="Notes"/>
      <sheetName val="Roast planning"/>
      <sheetName val="Roast Logs (2016-2019)"/>
      <sheetName val="Roast Logs (2012-2015)"/>
      <sheetName val="Profiles"/>
      <sheetName val="Profiles (2)"/>
      <sheetName val="invoice"/>
    </sheetNames>
    <sheetDataSet>
      <sheetData sheetId="0" refreshError="1"/>
      <sheetData sheetId="1" refreshError="1"/>
      <sheetData sheetId="2" refreshError="1"/>
      <sheetData sheetId="3">
        <row r="2">
          <cell r="O2">
            <v>582.79543558735566</v>
          </cell>
          <cell r="P2">
            <v>795</v>
          </cell>
          <cell r="Q2">
            <v>1671.8958390685666</v>
          </cell>
          <cell r="R2">
            <v>0</v>
          </cell>
          <cell r="S2">
            <v>0</v>
          </cell>
          <cell r="T2">
            <v>265.36185236537358</v>
          </cell>
          <cell r="U2">
            <v>1451.6020082855471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2611.6323682013212</v>
          </cell>
          <cell r="AA2">
            <v>0</v>
          </cell>
          <cell r="AB2">
            <v>0</v>
          </cell>
          <cell r="AC2">
            <v>0</v>
          </cell>
          <cell r="AD2">
            <v>1854.8992916277473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2812.5854080917425</v>
          </cell>
          <cell r="AJ2">
            <v>0</v>
          </cell>
          <cell r="AK2">
            <v>0</v>
          </cell>
          <cell r="AL2">
            <v>0</v>
          </cell>
          <cell r="AM2">
            <v>594.4418523653718</v>
          </cell>
          <cell r="AN2">
            <v>204.60000000000002</v>
          </cell>
          <cell r="AO2">
            <v>1424.4418523653719</v>
          </cell>
          <cell r="AP2">
            <v>215.17353507952581</v>
          </cell>
          <cell r="AQ2">
            <v>2016</v>
          </cell>
          <cell r="AR2">
            <v>0</v>
          </cell>
          <cell r="AS2">
            <v>2861.5988881465319</v>
          </cell>
          <cell r="AT2">
            <v>0</v>
          </cell>
          <cell r="AU2">
            <v>2081.0192457905555</v>
          </cell>
          <cell r="AV2">
            <v>2445.7634479821591</v>
          </cell>
          <cell r="AW2">
            <v>1245.1291884605571</v>
          </cell>
          <cell r="AX2">
            <v>2490.433837698813</v>
          </cell>
          <cell r="AY2">
            <v>2270</v>
          </cell>
          <cell r="AZ2">
            <v>3685.2073727783381</v>
          </cell>
          <cell r="BA2">
            <v>323.50573132436051</v>
          </cell>
          <cell r="BB2">
            <v>2085.7708390685661</v>
          </cell>
          <cell r="BC2">
            <v>1576.5057313243592</v>
          </cell>
          <cell r="BD2">
            <v>1959.7438789589874</v>
          </cell>
          <cell r="BE2">
            <v>3745.2599999999993</v>
          </cell>
          <cell r="BF2">
            <v>2695</v>
          </cell>
          <cell r="BG2">
            <v>454</v>
          </cell>
          <cell r="BH2">
            <v>2028.7618523653719</v>
          </cell>
          <cell r="BI2">
            <v>2314</v>
          </cell>
          <cell r="BJ2">
            <v>4170</v>
          </cell>
          <cell r="BK2">
            <v>1359</v>
          </cell>
          <cell r="BL2">
            <v>1545</v>
          </cell>
          <cell r="BM2">
            <v>1169</v>
          </cell>
          <cell r="BN2">
            <v>1751</v>
          </cell>
          <cell r="BO2">
            <v>2199</v>
          </cell>
          <cell r="BP2">
            <v>227.125</v>
          </cell>
          <cell r="BQ2">
            <v>1272</v>
          </cell>
          <cell r="BR2">
            <v>2278</v>
          </cell>
          <cell r="BS2">
            <v>2207</v>
          </cell>
          <cell r="BT2">
            <v>2143</v>
          </cell>
          <cell r="BU2">
            <v>1700</v>
          </cell>
          <cell r="BV2">
            <v>0</v>
          </cell>
          <cell r="BW2">
            <v>1493</v>
          </cell>
          <cell r="BX2">
            <v>2303</v>
          </cell>
          <cell r="BY2">
            <v>2280</v>
          </cell>
          <cell r="BZ2">
            <v>2090</v>
          </cell>
          <cell r="CA2">
            <v>2190</v>
          </cell>
          <cell r="CB2">
            <v>2130</v>
          </cell>
          <cell r="CC2">
            <v>454</v>
          </cell>
          <cell r="CD2">
            <v>464</v>
          </cell>
          <cell r="CE2">
            <v>2340</v>
          </cell>
          <cell r="CF2">
            <v>2340</v>
          </cell>
          <cell r="CG2">
            <v>2130</v>
          </cell>
          <cell r="CH2">
            <v>2189</v>
          </cell>
          <cell r="CI2">
            <v>2009.9999999999998</v>
          </cell>
          <cell r="CJ2">
            <v>2225</v>
          </cell>
          <cell r="CK2">
            <v>2133</v>
          </cell>
          <cell r="CL2">
            <v>909.99999999999989</v>
          </cell>
          <cell r="CM2">
            <v>1953.9999999999998</v>
          </cell>
          <cell r="CN2">
            <v>2199</v>
          </cell>
          <cell r="CO2">
            <v>2345</v>
          </cell>
          <cell r="CP2">
            <v>2245</v>
          </cell>
          <cell r="CQ2">
            <v>1816</v>
          </cell>
          <cell r="CR2">
            <v>1816</v>
          </cell>
          <cell r="CS2">
            <v>2270</v>
          </cell>
          <cell r="CT2">
            <v>2150</v>
          </cell>
          <cell r="CU2">
            <v>2150</v>
          </cell>
          <cell r="CV2">
            <v>2340</v>
          </cell>
          <cell r="CW2">
            <v>2145</v>
          </cell>
          <cell r="CX2">
            <v>975</v>
          </cell>
          <cell r="CY2">
            <v>2145</v>
          </cell>
          <cell r="CZ2">
            <v>2340</v>
          </cell>
          <cell r="DA2">
            <v>1755</v>
          </cell>
          <cell r="DB2">
            <v>2150</v>
          </cell>
          <cell r="DC2">
            <v>975</v>
          </cell>
          <cell r="DD2">
            <v>1720</v>
          </cell>
          <cell r="DE2">
            <v>1330</v>
          </cell>
          <cell r="DF2">
            <v>3510</v>
          </cell>
          <cell r="DG2">
            <v>2340</v>
          </cell>
          <cell r="DH2">
            <v>2340</v>
          </cell>
          <cell r="DI2">
            <v>3315</v>
          </cell>
          <cell r="DJ2">
            <v>2145</v>
          </cell>
          <cell r="DK2">
            <v>2145</v>
          </cell>
          <cell r="DL2">
            <v>2925</v>
          </cell>
          <cell r="DM2">
            <v>2395</v>
          </cell>
          <cell r="DN2">
            <v>2400</v>
          </cell>
          <cell r="DO2">
            <v>908</v>
          </cell>
          <cell r="DP2">
            <v>900</v>
          </cell>
          <cell r="DQ2">
            <v>4995</v>
          </cell>
          <cell r="DR2">
            <v>2340</v>
          </cell>
          <cell r="DS2">
            <v>5265</v>
          </cell>
          <cell r="DT2">
            <v>2535</v>
          </cell>
          <cell r="DU2">
            <v>2535</v>
          </cell>
          <cell r="DV2">
            <v>2340</v>
          </cell>
          <cell r="DW2">
            <v>900</v>
          </cell>
          <cell r="DX2">
            <v>2535</v>
          </cell>
          <cell r="DY2">
            <v>2925</v>
          </cell>
          <cell r="DZ2">
            <v>4720</v>
          </cell>
          <cell r="EA2">
            <v>2615</v>
          </cell>
          <cell r="EB2">
            <v>2535</v>
          </cell>
          <cell r="EC2">
            <v>2535</v>
          </cell>
          <cell r="ED2">
            <v>4895</v>
          </cell>
          <cell r="EE2">
            <v>3120</v>
          </cell>
          <cell r="EF2">
            <v>3005</v>
          </cell>
          <cell r="EG2">
            <v>3180</v>
          </cell>
          <cell r="EH2">
            <v>3140</v>
          </cell>
          <cell r="EI2">
            <v>2150</v>
          </cell>
          <cell r="EJ2">
            <v>2580</v>
          </cell>
          <cell r="EK2">
            <v>2265</v>
          </cell>
          <cell r="EL2">
            <v>2285</v>
          </cell>
          <cell r="EM2">
            <v>2185</v>
          </cell>
          <cell r="EN2">
            <v>2524</v>
          </cell>
          <cell r="EO2">
            <v>2250</v>
          </cell>
          <cell r="EP2">
            <v>2205</v>
          </cell>
          <cell r="EQ2">
            <v>2205</v>
          </cell>
          <cell r="ER2">
            <v>2794</v>
          </cell>
          <cell r="ES2">
            <v>1950</v>
          </cell>
          <cell r="ET2">
            <v>2150</v>
          </cell>
          <cell r="EU2">
            <v>2365</v>
          </cell>
          <cell r="EV2">
            <v>2145</v>
          </cell>
          <cell r="EW2">
            <v>5448</v>
          </cell>
          <cell r="EX2">
            <v>2145</v>
          </cell>
          <cell r="EY2">
            <v>2130</v>
          </cell>
          <cell r="EZ2">
            <v>2150</v>
          </cell>
          <cell r="FA2">
            <v>2145</v>
          </cell>
          <cell r="FB2">
            <v>2410</v>
          </cell>
          <cell r="FC2">
            <v>2270</v>
          </cell>
          <cell r="FD2">
            <v>2270</v>
          </cell>
          <cell r="FE2">
            <v>2270</v>
          </cell>
          <cell r="FF2">
            <v>2145</v>
          </cell>
          <cell r="FG2">
            <v>2270</v>
          </cell>
          <cell r="FH2">
            <v>2270</v>
          </cell>
          <cell r="FI2">
            <v>2270</v>
          </cell>
          <cell r="FJ2">
            <v>2724</v>
          </cell>
          <cell r="FK2">
            <v>4590</v>
          </cell>
          <cell r="FL2">
            <v>2270</v>
          </cell>
          <cell r="FM2">
            <v>2270</v>
          </cell>
          <cell r="FN2">
            <v>2270</v>
          </cell>
          <cell r="FO2">
            <v>2265</v>
          </cell>
          <cell r="FP2">
            <v>2270</v>
          </cell>
          <cell r="FQ2">
            <v>2270</v>
          </cell>
          <cell r="FR2">
            <v>2340</v>
          </cell>
          <cell r="FS2">
            <v>2270</v>
          </cell>
          <cell r="FT2">
            <v>2270</v>
          </cell>
          <cell r="FU2">
            <v>2460</v>
          </cell>
          <cell r="FV2">
            <v>2724</v>
          </cell>
          <cell r="FW2">
            <v>2724</v>
          </cell>
          <cell r="FX2">
            <v>2724</v>
          </cell>
          <cell r="FY2">
            <v>4540</v>
          </cell>
          <cell r="FZ2">
            <v>2270</v>
          </cell>
          <cell r="GA2">
            <v>2270</v>
          </cell>
          <cell r="GB2">
            <v>2270</v>
          </cell>
          <cell r="GC2">
            <v>4540</v>
          </cell>
          <cell r="GD2">
            <v>4540</v>
          </cell>
          <cell r="GE2">
            <v>2270</v>
          </cell>
        </row>
        <row r="2523"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0</v>
          </cell>
          <cell r="W2523">
            <v>0</v>
          </cell>
          <cell r="X2523">
            <v>0</v>
          </cell>
          <cell r="Y2523">
            <v>0</v>
          </cell>
          <cell r="Z2523">
            <v>0</v>
          </cell>
          <cell r="AA2523">
            <v>0</v>
          </cell>
          <cell r="AB2523">
            <v>0</v>
          </cell>
          <cell r="AC2523">
            <v>0</v>
          </cell>
          <cell r="AD2523">
            <v>0</v>
          </cell>
          <cell r="AE2523">
            <v>0</v>
          </cell>
          <cell r="AF2523">
            <v>0</v>
          </cell>
          <cell r="AG2523">
            <v>0</v>
          </cell>
          <cell r="AH2523">
            <v>0</v>
          </cell>
          <cell r="AI2523">
            <v>0</v>
          </cell>
          <cell r="AJ2523">
            <v>0</v>
          </cell>
          <cell r="AK2523">
            <v>0</v>
          </cell>
          <cell r="AL2523">
            <v>0</v>
          </cell>
          <cell r="AM2523">
            <v>0</v>
          </cell>
          <cell r="AN2523">
            <v>0</v>
          </cell>
          <cell r="AO2523">
            <v>0</v>
          </cell>
          <cell r="AP2523">
            <v>0</v>
          </cell>
          <cell r="AQ2523">
            <v>0</v>
          </cell>
          <cell r="AR2523">
            <v>0</v>
          </cell>
          <cell r="AS2523">
            <v>0</v>
          </cell>
          <cell r="AT2523">
            <v>0</v>
          </cell>
          <cell r="AU2523">
            <v>0</v>
          </cell>
          <cell r="AV2523">
            <v>0</v>
          </cell>
          <cell r="AW2523">
            <v>0</v>
          </cell>
          <cell r="AX2523">
            <v>0</v>
          </cell>
          <cell r="AY2523">
            <v>0</v>
          </cell>
          <cell r="AZ2523">
            <v>0</v>
          </cell>
          <cell r="BA2523">
            <v>0</v>
          </cell>
          <cell r="BB2523">
            <v>0</v>
          </cell>
          <cell r="BC2523">
            <v>0</v>
          </cell>
          <cell r="BD2523">
            <v>0</v>
          </cell>
          <cell r="BE2523">
            <v>0</v>
          </cell>
          <cell r="BF2523">
            <v>0</v>
          </cell>
          <cell r="BG2523">
            <v>0</v>
          </cell>
          <cell r="BH2523">
            <v>0</v>
          </cell>
          <cell r="BI2523">
            <v>0</v>
          </cell>
          <cell r="BJ2523">
            <v>0</v>
          </cell>
          <cell r="BK2523">
            <v>0</v>
          </cell>
          <cell r="BL2523">
            <v>0</v>
          </cell>
          <cell r="BM2523">
            <v>0</v>
          </cell>
          <cell r="BN2523">
            <v>0</v>
          </cell>
          <cell r="BO2523">
            <v>0</v>
          </cell>
          <cell r="BP2523">
            <v>0</v>
          </cell>
          <cell r="BQ2523">
            <v>0</v>
          </cell>
          <cell r="BR2523">
            <v>0</v>
          </cell>
          <cell r="BS2523">
            <v>0</v>
          </cell>
          <cell r="BT2523">
            <v>0</v>
          </cell>
          <cell r="BU2523">
            <v>0</v>
          </cell>
          <cell r="BV2523">
            <v>0</v>
          </cell>
          <cell r="BW2523">
            <v>0</v>
          </cell>
          <cell r="BX2523">
            <v>0</v>
          </cell>
          <cell r="BY2523">
            <v>0</v>
          </cell>
          <cell r="BZ2523">
            <v>0</v>
          </cell>
          <cell r="CA2523">
            <v>0</v>
          </cell>
          <cell r="CB2523">
            <v>0</v>
          </cell>
          <cell r="CC2523">
            <v>0</v>
          </cell>
          <cell r="CD2523">
            <v>0</v>
          </cell>
          <cell r="CE2523">
            <v>0</v>
          </cell>
          <cell r="CF2523">
            <v>0</v>
          </cell>
          <cell r="CG2523">
            <v>0</v>
          </cell>
          <cell r="CH2523">
            <v>0</v>
          </cell>
          <cell r="CI2523">
            <v>0</v>
          </cell>
          <cell r="CJ2523">
            <v>0</v>
          </cell>
          <cell r="CK2523">
            <v>0</v>
          </cell>
          <cell r="CL2523">
            <v>0</v>
          </cell>
          <cell r="CM2523">
            <v>0</v>
          </cell>
          <cell r="CN2523">
            <v>0</v>
          </cell>
          <cell r="CO2523">
            <v>0</v>
          </cell>
          <cell r="CP2523">
            <v>0</v>
          </cell>
          <cell r="CQ2523">
            <v>0</v>
          </cell>
          <cell r="CR2523">
            <v>0</v>
          </cell>
          <cell r="CS2523">
            <v>0</v>
          </cell>
          <cell r="CT2523">
            <v>0</v>
          </cell>
          <cell r="CU2523">
            <v>0</v>
          </cell>
          <cell r="CV2523">
            <v>0</v>
          </cell>
          <cell r="CW2523">
            <v>0</v>
          </cell>
          <cell r="CX2523">
            <v>0</v>
          </cell>
          <cell r="CY2523">
            <v>0</v>
          </cell>
          <cell r="CZ2523">
            <v>0</v>
          </cell>
          <cell r="DA2523">
            <v>0</v>
          </cell>
          <cell r="DB2523">
            <v>0</v>
          </cell>
          <cell r="DC2523">
            <v>0</v>
          </cell>
          <cell r="DD2523">
            <v>0</v>
          </cell>
          <cell r="DE2523">
            <v>0</v>
          </cell>
          <cell r="DF2523">
            <v>0</v>
          </cell>
          <cell r="DG2523">
            <v>0</v>
          </cell>
          <cell r="DH2523">
            <v>0</v>
          </cell>
          <cell r="DI2523">
            <v>0</v>
          </cell>
          <cell r="DJ2523">
            <v>0</v>
          </cell>
          <cell r="DK2523">
            <v>0</v>
          </cell>
          <cell r="DL2523">
            <v>0</v>
          </cell>
          <cell r="DM2523">
            <v>0</v>
          </cell>
          <cell r="DN2523">
            <v>0</v>
          </cell>
          <cell r="DO2523">
            <v>0</v>
          </cell>
          <cell r="DP2523">
            <v>0</v>
          </cell>
          <cell r="DQ2523">
            <v>0</v>
          </cell>
          <cell r="DR2523">
            <v>0</v>
          </cell>
          <cell r="DS2523">
            <v>0</v>
          </cell>
          <cell r="DT2523">
            <v>0</v>
          </cell>
          <cell r="DU2523">
            <v>0</v>
          </cell>
          <cell r="DV2523">
            <v>0</v>
          </cell>
          <cell r="DW2523">
            <v>0</v>
          </cell>
          <cell r="DX2523">
            <v>0</v>
          </cell>
          <cell r="DY2523">
            <v>0</v>
          </cell>
          <cell r="DZ2523">
            <v>0</v>
          </cell>
          <cell r="EA2523">
            <v>0</v>
          </cell>
          <cell r="EB2523">
            <v>0</v>
          </cell>
          <cell r="EC2523">
            <v>0</v>
          </cell>
          <cell r="ED2523">
            <v>0</v>
          </cell>
          <cell r="EE2523">
            <v>0</v>
          </cell>
          <cell r="EF2523">
            <v>0</v>
          </cell>
          <cell r="EG2523">
            <v>0</v>
          </cell>
          <cell r="EH2523">
            <v>0</v>
          </cell>
          <cell r="EI2523">
            <v>0</v>
          </cell>
          <cell r="EJ2523">
            <v>0</v>
          </cell>
          <cell r="EK2523">
            <v>0</v>
          </cell>
          <cell r="EL2523">
            <v>0</v>
          </cell>
          <cell r="EM2523">
            <v>0</v>
          </cell>
          <cell r="EN2523">
            <v>0</v>
          </cell>
          <cell r="EO2523">
            <v>0</v>
          </cell>
          <cell r="EP2523">
            <v>0</v>
          </cell>
          <cell r="EQ2523">
            <v>0</v>
          </cell>
          <cell r="ER2523">
            <v>0</v>
          </cell>
          <cell r="ES2523">
            <v>0</v>
          </cell>
          <cell r="ET2523">
            <v>0</v>
          </cell>
          <cell r="EU2523">
            <v>0</v>
          </cell>
          <cell r="EV2523">
            <v>0</v>
          </cell>
          <cell r="EW2523">
            <v>308</v>
          </cell>
          <cell r="EX2523">
            <v>0</v>
          </cell>
          <cell r="EY2523">
            <v>0</v>
          </cell>
          <cell r="EZ2523">
            <v>0</v>
          </cell>
          <cell r="FA2523">
            <v>0</v>
          </cell>
          <cell r="FB2523">
            <v>280</v>
          </cell>
          <cell r="FC2523">
            <v>1860</v>
          </cell>
          <cell r="FD2523">
            <v>45</v>
          </cell>
          <cell r="FE2523">
            <v>0</v>
          </cell>
          <cell r="FF2523">
            <v>0</v>
          </cell>
          <cell r="FG2523">
            <v>105</v>
          </cell>
          <cell r="FH2523">
            <v>65</v>
          </cell>
          <cell r="FI2523">
            <v>120</v>
          </cell>
          <cell r="FJ2523">
            <v>-71</v>
          </cell>
          <cell r="FK2523">
            <v>0</v>
          </cell>
          <cell r="FL2523">
            <v>-30</v>
          </cell>
          <cell r="FM2523">
            <v>-490</v>
          </cell>
          <cell r="FN2523">
            <v>120</v>
          </cell>
          <cell r="FO2523">
            <v>0</v>
          </cell>
          <cell r="FP2523">
            <v>105</v>
          </cell>
          <cell r="FQ2523">
            <v>-70</v>
          </cell>
          <cell r="FR2523">
            <v>0</v>
          </cell>
          <cell r="FS2523">
            <v>-185</v>
          </cell>
          <cell r="FT2523">
            <v>1410</v>
          </cell>
          <cell r="FU2523">
            <v>0</v>
          </cell>
          <cell r="FV2523">
            <v>399</v>
          </cell>
          <cell r="FW2523">
            <v>359</v>
          </cell>
          <cell r="FX2523">
            <v>809</v>
          </cell>
          <cell r="FY2523">
            <v>1745</v>
          </cell>
          <cell r="FZ2523">
            <v>190</v>
          </cell>
          <cell r="GA2523">
            <v>670</v>
          </cell>
          <cell r="GB2523">
            <v>1410</v>
          </cell>
          <cell r="GC2523">
            <v>1560</v>
          </cell>
          <cell r="GD2523">
            <v>1540</v>
          </cell>
          <cell r="GE2523">
            <v>1625</v>
          </cell>
          <cell r="GF2523">
            <v>1685</v>
          </cell>
          <cell r="GG2523">
            <v>1490</v>
          </cell>
          <cell r="GH2523">
            <v>1195</v>
          </cell>
          <cell r="GI2523">
            <v>2724</v>
          </cell>
          <cell r="GJ2523">
            <v>9988</v>
          </cell>
          <cell r="GK2523">
            <v>9988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9BC9A-8C2B-4F3E-8884-A1EFFB663325}">
  <sheetPr codeName="Sheet1"/>
  <dimension ref="M1:U1"/>
  <sheetViews>
    <sheetView workbookViewId="0"/>
  </sheetViews>
  <sheetFormatPr defaultRowHeight="15.5" x14ac:dyDescent="0.35"/>
  <sheetData>
    <row r="1" spans="13:21" x14ac:dyDescent="0.35">
      <c r="M1" s="10">
        <v>1.0416666666666666E-2</v>
      </c>
      <c r="N1" s="10">
        <v>2.0833333333333332E-2</v>
      </c>
      <c r="O1" s="10">
        <v>4.1666666666666664E-2</v>
      </c>
      <c r="P1" s="10">
        <v>6.9444444444444441E-3</v>
      </c>
      <c r="Q1" s="10">
        <v>3.472222222222222E-3</v>
      </c>
      <c r="R1" s="10">
        <f>$Q$1+Q1</f>
        <v>6.9444444444444441E-3</v>
      </c>
      <c r="S1" s="10">
        <f>$Q$1+R1</f>
        <v>1.0416666666666666E-2</v>
      </c>
      <c r="T1" s="10">
        <f>$Q$1+S1</f>
        <v>1.3888888888888888E-2</v>
      </c>
      <c r="U1" s="10">
        <f>$Q$1+T1</f>
        <v>1.7361111111111112E-2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3F362-131C-49A1-AADB-4C10AA6038FA}">
  <sheetPr codeName="Sheet3"/>
  <dimension ref="A1:P4908"/>
  <sheetViews>
    <sheetView tabSelected="1" topLeftCell="B62" zoomScale="210" zoomScaleNormal="210" workbookViewId="0">
      <selection activeCell="D75" sqref="D75"/>
    </sheetView>
  </sheetViews>
  <sheetFormatPr defaultRowHeight="15.5" x14ac:dyDescent="0.35"/>
  <cols>
    <col min="1" max="1" width="3.58203125" customWidth="1"/>
    <col min="2" max="4" width="9.58203125" customWidth="1"/>
    <col min="5" max="5" width="7.5" customWidth="1"/>
    <col min="6" max="11" width="9.58203125" customWidth="1"/>
    <col min="12" max="12" width="10.58203125" customWidth="1"/>
    <col min="13" max="13" width="14" customWidth="1"/>
    <col min="15" max="15" width="9.33203125" bestFit="1" customWidth="1"/>
  </cols>
  <sheetData>
    <row r="1" spans="2:16" x14ac:dyDescent="0.35">
      <c r="K1" s="1" t="s">
        <v>232</v>
      </c>
    </row>
    <row r="5" spans="2:16" ht="8.25" customHeight="1" x14ac:dyDescent="0.35"/>
    <row r="7" spans="2:16" x14ac:dyDescent="0.35">
      <c r="P7" s="8"/>
    </row>
    <row r="13" spans="2:1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2:16" x14ac:dyDescent="0.35">
      <c r="E14" s="9" t="s">
        <v>233</v>
      </c>
      <c r="F14" s="9"/>
      <c r="G14" s="9"/>
      <c r="H14" s="9"/>
      <c r="N14" s="10"/>
      <c r="O14" s="10"/>
    </row>
    <row r="15" spans="2:16" x14ac:dyDescent="0.35">
      <c r="B15" s="9"/>
      <c r="C15" s="9"/>
      <c r="D15" s="9"/>
      <c r="E15" s="9" t="s">
        <v>234</v>
      </c>
      <c r="F15" s="9"/>
      <c r="G15" s="9"/>
      <c r="H15" s="9"/>
      <c r="I15" s="9"/>
      <c r="J15" s="9"/>
      <c r="K15" s="9"/>
    </row>
    <row r="16" spans="2:16" x14ac:dyDescent="0.35">
      <c r="N16" s="10"/>
      <c r="O16" s="10"/>
    </row>
    <row r="17" spans="1:16" x14ac:dyDescent="0.35">
      <c r="E17" s="11"/>
      <c r="J17" s="11"/>
    </row>
    <row r="18" spans="1:16" ht="15.75" customHeight="1" x14ac:dyDescent="0.35">
      <c r="B18" s="9"/>
      <c r="C18" s="9"/>
      <c r="D18" s="9"/>
      <c r="E18" s="9"/>
      <c r="F18" s="12"/>
      <c r="G18" s="12"/>
      <c r="H18" s="12"/>
      <c r="I18" s="12"/>
      <c r="J18" s="12"/>
      <c r="K18" s="12"/>
      <c r="L18" s="1"/>
    </row>
    <row r="19" spans="1:16" ht="15.75" customHeight="1" x14ac:dyDescent="0.35">
      <c r="B19" s="13"/>
      <c r="C19" s="13"/>
      <c r="D19" s="13"/>
      <c r="E19" s="13"/>
      <c r="F19" s="33" t="s">
        <v>278</v>
      </c>
      <c r="G19" s="13"/>
      <c r="H19" s="14"/>
      <c r="I19" s="13"/>
    </row>
    <row r="20" spans="1:16" x14ac:dyDescent="0.35">
      <c r="B20" s="13" t="s">
        <v>5</v>
      </c>
      <c r="C20" s="13" t="s">
        <v>1</v>
      </c>
      <c r="D20" s="15" t="str">
        <f>VLOOKUP(A21,Inventory!$A$4:$K$1139,7)</f>
        <v>Captain's Coffee</v>
      </c>
      <c r="F20" s="13" t="s">
        <v>235</v>
      </c>
      <c r="G20" s="16"/>
      <c r="J20" s="8"/>
      <c r="K20" s="17"/>
      <c r="L20" s="17"/>
      <c r="M20" s="17"/>
    </row>
    <row r="21" spans="1:16" x14ac:dyDescent="0.35">
      <c r="A21">
        <v>177</v>
      </c>
      <c r="B21" s="5">
        <v>45270</v>
      </c>
      <c r="C21" s="15" t="str">
        <f>VLOOKUP(A21,Inventory!$A$4:$K$1139,2)</f>
        <v>Costa Rica Tarrazu La Pastora 2022</v>
      </c>
      <c r="F21" s="34" t="s">
        <v>279</v>
      </c>
      <c r="G21" s="2" t="s">
        <v>270</v>
      </c>
      <c r="K21" s="17"/>
      <c r="L21" s="17"/>
      <c r="M21" s="17"/>
      <c r="P21" s="8"/>
    </row>
    <row r="22" spans="1:16" x14ac:dyDescent="0.35">
      <c r="G22" s="16"/>
      <c r="J22" s="19"/>
      <c r="K22" s="19"/>
      <c r="L22" s="19"/>
      <c r="M22" s="19"/>
    </row>
    <row r="23" spans="1:16" x14ac:dyDescent="0.35">
      <c r="B23" s="20"/>
      <c r="C23" s="11" t="s">
        <v>240</v>
      </c>
      <c r="D23" s="11" t="s">
        <v>272</v>
      </c>
      <c r="E23" s="11">
        <v>373</v>
      </c>
      <c r="F23" s="11">
        <v>381</v>
      </c>
      <c r="G23" s="11">
        <v>390</v>
      </c>
      <c r="H23" s="11">
        <v>393</v>
      </c>
      <c r="I23" s="11" t="s">
        <v>310</v>
      </c>
      <c r="J23" s="28"/>
      <c r="K23" s="11"/>
      <c r="L23" s="28"/>
    </row>
    <row r="24" spans="1:16" ht="15.75" customHeight="1" x14ac:dyDescent="0.35">
      <c r="B24" s="20" t="s">
        <v>242</v>
      </c>
      <c r="C24" s="30"/>
      <c r="D24" s="30"/>
      <c r="E24" s="23" t="s">
        <v>244</v>
      </c>
      <c r="F24" s="23" t="s">
        <v>245</v>
      </c>
      <c r="G24" s="23" t="s">
        <v>246</v>
      </c>
      <c r="H24" s="23" t="s">
        <v>247</v>
      </c>
      <c r="O24" s="4"/>
    </row>
    <row r="25" spans="1:16" ht="1" customHeight="1" x14ac:dyDescent="0.35">
      <c r="B25" s="24" t="s">
        <v>249</v>
      </c>
      <c r="C25" s="25"/>
      <c r="D25" s="25"/>
      <c r="E25" s="25"/>
      <c r="F25" s="25"/>
      <c r="G25" s="25"/>
      <c r="H25" s="25"/>
      <c r="O25" t="e">
        <f>(O23-3*O22)/O24</f>
        <v>#DIV/0!</v>
      </c>
    </row>
    <row r="26" spans="1:16" ht="15.75" customHeight="1" x14ac:dyDescent="0.35">
      <c r="B26" s="20" t="s">
        <v>250</v>
      </c>
      <c r="C26" s="26">
        <v>0.22569444444444445</v>
      </c>
      <c r="D26" s="26">
        <v>0.31597222222222221</v>
      </c>
      <c r="E26" s="26">
        <v>0.40972222222222227</v>
      </c>
      <c r="F26" s="26">
        <f>E26+'Lookup Tables'!$N$1</f>
        <v>0.43055555555555558</v>
      </c>
      <c r="G26" s="26">
        <f>F26+'Lookup Tables'!$N$1</f>
        <v>0.4513888888888889</v>
      </c>
      <c r="H26" s="26">
        <f>G26+'Lookup Tables'!$N$1</f>
        <v>0.47222222222222221</v>
      </c>
      <c r="N26">
        <f>MAX(F23:M23)-O26</f>
        <v>20</v>
      </c>
      <c r="O26" t="str">
        <f>RIGHT(E23,3)</f>
        <v>373</v>
      </c>
    </row>
    <row r="27" spans="1:16" ht="15.75" customHeight="1" x14ac:dyDescent="0.35">
      <c r="B27" s="20" t="s">
        <v>251</v>
      </c>
      <c r="C27" s="27">
        <v>0.2</v>
      </c>
      <c r="D27" s="27">
        <v>0.5</v>
      </c>
      <c r="E27" s="25"/>
      <c r="F27" s="27"/>
      <c r="G27" s="27"/>
      <c r="H27" s="25" t="s">
        <v>274</v>
      </c>
      <c r="N27" t="str">
        <f xml:space="preserve">  N26 &amp; " degrees this time"</f>
        <v>20 degrees this time</v>
      </c>
    </row>
    <row r="28" spans="1:16" ht="15.75" customHeight="1" x14ac:dyDescent="0.35">
      <c r="B28" s="20" t="s">
        <v>252</v>
      </c>
      <c r="C28" s="27">
        <v>0.9</v>
      </c>
      <c r="D28" s="27">
        <v>0.8</v>
      </c>
      <c r="E28" s="27">
        <v>0.6</v>
      </c>
      <c r="F28" s="27">
        <v>0.4</v>
      </c>
      <c r="G28" s="27"/>
      <c r="H28" s="25" t="s">
        <v>274</v>
      </c>
    </row>
    <row r="29" spans="1:16" ht="15.75" customHeight="1" x14ac:dyDescent="0.35">
      <c r="B29" s="20"/>
      <c r="C29" s="30"/>
      <c r="D29" s="11"/>
      <c r="E29" s="11"/>
      <c r="F29" s="11"/>
      <c r="G29" s="1"/>
      <c r="H29" s="1"/>
      <c r="I29" s="1"/>
    </row>
    <row r="30" spans="1:16" ht="15.75" customHeight="1" x14ac:dyDescent="0.35">
      <c r="B30" s="20"/>
      <c r="C30" s="30"/>
      <c r="D30" s="11"/>
      <c r="E30" s="11"/>
      <c r="F30" s="11"/>
      <c r="G30" s="1" t="s">
        <v>283</v>
      </c>
      <c r="K30" s="32" t="s">
        <v>284</v>
      </c>
      <c r="L30" s="9"/>
      <c r="M30" s="9"/>
    </row>
    <row r="31" spans="1:16" ht="15.75" customHeight="1" x14ac:dyDescent="0.35">
      <c r="B31" s="20"/>
      <c r="G31" s="1"/>
      <c r="H31" s="1"/>
      <c r="K31" s="32" t="s">
        <v>285</v>
      </c>
      <c r="L31" s="9"/>
      <c r="M31" s="9"/>
    </row>
    <row r="32" spans="1:16" ht="15.75" customHeight="1" x14ac:dyDescent="0.35">
      <c r="B32" s="20"/>
      <c r="G32" s="1"/>
      <c r="H32" s="1"/>
      <c r="K32" s="9" t="s">
        <v>254</v>
      </c>
      <c r="L32" s="9"/>
      <c r="M32" s="9"/>
    </row>
    <row r="33" spans="1:16" ht="15.75" customHeight="1" x14ac:dyDescent="0.35">
      <c r="B33" s="9"/>
      <c r="C33" s="9"/>
      <c r="D33" s="9"/>
      <c r="E33" s="9"/>
      <c r="F33" s="12"/>
      <c r="G33" s="12"/>
      <c r="H33" s="12"/>
      <c r="I33" s="12"/>
      <c r="J33" s="12"/>
      <c r="K33" s="12"/>
      <c r="L33" s="1"/>
    </row>
    <row r="34" spans="1:16" ht="15.75" customHeight="1" x14ac:dyDescent="0.35">
      <c r="B34" s="13"/>
      <c r="C34" s="13"/>
      <c r="D34" s="13"/>
      <c r="E34" s="13"/>
      <c r="F34" s="33" t="s">
        <v>278</v>
      </c>
      <c r="H34" s="14" t="s">
        <v>255</v>
      </c>
      <c r="I34" s="13"/>
    </row>
    <row r="35" spans="1:16" x14ac:dyDescent="0.35">
      <c r="B35" s="13" t="s">
        <v>5</v>
      </c>
      <c r="C35" s="13" t="s">
        <v>1</v>
      </c>
      <c r="D35" s="15" t="str">
        <f>VLOOKUP(A36,Inventory!$A$4:$K$1139,7)</f>
        <v xml:space="preserve">Sweet Marias                       </v>
      </c>
      <c r="F35" s="13" t="s">
        <v>235</v>
      </c>
      <c r="G35" s="16"/>
      <c r="J35" s="8"/>
      <c r="K35" s="17"/>
      <c r="L35" s="17"/>
      <c r="M35" s="17"/>
    </row>
    <row r="36" spans="1:16" x14ac:dyDescent="0.35">
      <c r="A36">
        <v>172</v>
      </c>
      <c r="B36" s="5">
        <v>45270</v>
      </c>
      <c r="C36" s="15" t="str">
        <f>VLOOKUP(A36,Inventory!$A$4:$K$1139,2)</f>
        <v>DP Idido Desalegn Hijo 2022</v>
      </c>
      <c r="F36" s="34">
        <v>215</v>
      </c>
      <c r="G36" s="2" t="s">
        <v>286</v>
      </c>
      <c r="L36" s="17"/>
      <c r="M36" s="17"/>
      <c r="P36" s="8"/>
    </row>
    <row r="37" spans="1:16" x14ac:dyDescent="0.35">
      <c r="F37" s="11"/>
      <c r="G37" s="11"/>
      <c r="H37" s="11"/>
      <c r="I37" s="11"/>
      <c r="J37" s="11"/>
      <c r="K37" s="11"/>
      <c r="L37" s="28"/>
      <c r="M37" s="36"/>
    </row>
    <row r="38" spans="1:16" x14ac:dyDescent="0.35">
      <c r="B38" s="20"/>
      <c r="C38" s="11" t="s">
        <v>240</v>
      </c>
      <c r="D38" s="11" t="s">
        <v>272</v>
      </c>
      <c r="E38" s="11">
        <v>375</v>
      </c>
      <c r="F38" s="11">
        <v>384</v>
      </c>
      <c r="G38" s="11">
        <v>393</v>
      </c>
      <c r="H38" s="11">
        <v>395</v>
      </c>
      <c r="I38" s="11" t="s">
        <v>310</v>
      </c>
      <c r="J38" s="11"/>
      <c r="K38" s="11"/>
      <c r="L38" s="28"/>
    </row>
    <row r="39" spans="1:16" ht="15.75" customHeight="1" x14ac:dyDescent="0.35">
      <c r="B39" s="20" t="s">
        <v>242</v>
      </c>
      <c r="C39" s="21"/>
      <c r="D39" s="22" t="s">
        <v>287</v>
      </c>
      <c r="E39" s="23" t="s">
        <v>244</v>
      </c>
      <c r="F39" s="23" t="s">
        <v>245</v>
      </c>
      <c r="G39" s="23" t="s">
        <v>246</v>
      </c>
      <c r="H39" s="23" t="s">
        <v>247</v>
      </c>
      <c r="O39" s="4"/>
    </row>
    <row r="40" spans="1:16" ht="1" customHeight="1" x14ac:dyDescent="0.35">
      <c r="B40" s="24" t="s">
        <v>249</v>
      </c>
      <c r="C40" s="25"/>
      <c r="D40" s="25"/>
      <c r="E40" s="25"/>
      <c r="F40" s="25"/>
      <c r="G40" s="25"/>
      <c r="H40" s="25"/>
      <c r="O40" t="e">
        <f>(O38-3*O37)/O39</f>
        <v>#DIV/0!</v>
      </c>
    </row>
    <row r="41" spans="1:16" ht="15.75" customHeight="1" x14ac:dyDescent="0.35">
      <c r="B41" s="20" t="s">
        <v>250</v>
      </c>
      <c r="C41" s="26">
        <v>0.21180555555555555</v>
      </c>
      <c r="D41" s="26">
        <v>0.30902777777777779</v>
      </c>
      <c r="E41" s="26">
        <v>0.41666666666666669</v>
      </c>
      <c r="F41" s="26">
        <f>E41+'Lookup Tables'!$N$1</f>
        <v>0.4375</v>
      </c>
      <c r="G41" s="26">
        <f>F41+'Lookup Tables'!$N$1</f>
        <v>0.45833333333333331</v>
      </c>
      <c r="H41" s="26">
        <f>G41+'Lookup Tables'!$N$1</f>
        <v>0.47916666666666663</v>
      </c>
      <c r="N41">
        <f>MAX(F38:M38)-O41</f>
        <v>20</v>
      </c>
      <c r="O41" t="str">
        <f>RIGHT(E38,3)</f>
        <v>375</v>
      </c>
    </row>
    <row r="42" spans="1:16" ht="15.75" customHeight="1" x14ac:dyDescent="0.35">
      <c r="B42" s="20" t="s">
        <v>251</v>
      </c>
      <c r="C42" s="27">
        <v>0.2</v>
      </c>
      <c r="D42" s="27">
        <v>0.5</v>
      </c>
      <c r="E42" s="27"/>
      <c r="F42" s="27"/>
      <c r="G42" s="27"/>
      <c r="H42" s="25"/>
      <c r="N42" t="str">
        <f xml:space="preserve">  N41 &amp; " degrees this time"</f>
        <v>20 degrees this time</v>
      </c>
    </row>
    <row r="43" spans="1:16" ht="15.75" customHeight="1" x14ac:dyDescent="0.35">
      <c r="B43" s="20" t="s">
        <v>252</v>
      </c>
      <c r="C43" s="27">
        <v>0.9</v>
      </c>
      <c r="D43" s="27">
        <v>0.7</v>
      </c>
      <c r="E43" s="27">
        <v>0.7</v>
      </c>
      <c r="F43" s="27">
        <v>0.4</v>
      </c>
      <c r="G43" s="27"/>
      <c r="H43" s="25"/>
      <c r="K43" s="32" t="s">
        <v>311</v>
      </c>
      <c r="L43" s="9"/>
      <c r="M43" s="9"/>
    </row>
    <row r="44" spans="1:16" ht="15.75" customHeight="1" x14ac:dyDescent="0.35">
      <c r="B44" s="20"/>
      <c r="C44" s="30"/>
      <c r="D44" s="11"/>
      <c r="E44" s="1"/>
      <c r="F44" s="11"/>
      <c r="G44" s="11"/>
      <c r="H44" s="11"/>
      <c r="J44" s="37"/>
      <c r="K44" s="32" t="s">
        <v>288</v>
      </c>
      <c r="L44" s="9"/>
      <c r="M44" s="9"/>
    </row>
    <row r="45" spans="1:16" ht="15.75" customHeight="1" x14ac:dyDescent="0.35">
      <c r="B45" s="38"/>
      <c r="D45" s="11"/>
      <c r="E45" s="11"/>
      <c r="F45" s="11"/>
      <c r="G45" s="1" t="s">
        <v>283</v>
      </c>
      <c r="K45" s="32" t="s">
        <v>289</v>
      </c>
      <c r="L45" s="9"/>
      <c r="M45" s="9"/>
    </row>
    <row r="46" spans="1:16" ht="15.75" customHeight="1" x14ac:dyDescent="0.35">
      <c r="B46" s="20"/>
      <c r="K46" s="32" t="s">
        <v>290</v>
      </c>
      <c r="L46" s="9"/>
      <c r="M46" s="9"/>
    </row>
    <row r="47" spans="1:16" ht="15.75" customHeight="1" x14ac:dyDescent="0.35">
      <c r="B47" s="20"/>
      <c r="G47" s="1"/>
      <c r="H47" s="1"/>
      <c r="K47" s="9" t="s">
        <v>254</v>
      </c>
      <c r="L47" s="9"/>
      <c r="M47" s="9"/>
    </row>
    <row r="48" spans="1:16" ht="15.75" customHeight="1" x14ac:dyDescent="0.35">
      <c r="B48" s="9"/>
      <c r="C48" s="9"/>
      <c r="D48" s="9"/>
      <c r="E48" s="9"/>
      <c r="F48" s="12"/>
      <c r="G48" s="12"/>
      <c r="H48" s="12"/>
      <c r="I48" s="12"/>
      <c r="J48" s="12"/>
      <c r="K48" s="12"/>
      <c r="L48" s="1"/>
    </row>
    <row r="49" spans="1:16" ht="15.75" customHeight="1" x14ac:dyDescent="0.35">
      <c r="B49" s="13"/>
      <c r="C49" s="13"/>
      <c r="D49" s="13"/>
      <c r="E49" s="13"/>
      <c r="F49" s="13"/>
      <c r="G49" s="13"/>
      <c r="I49" s="14"/>
    </row>
    <row r="50" spans="1:16" x14ac:dyDescent="0.35">
      <c r="B50" s="13" t="s">
        <v>5</v>
      </c>
      <c r="C50" s="13" t="s">
        <v>1</v>
      </c>
      <c r="D50" s="15" t="str">
        <f>VLOOKUP(A51,Inventory!$A$4:$K$1139,7)</f>
        <v xml:space="preserve">Sweet Marias                       </v>
      </c>
      <c r="F50" s="13" t="s">
        <v>235</v>
      </c>
      <c r="G50" s="16"/>
      <c r="H50" s="14" t="s">
        <v>236</v>
      </c>
      <c r="L50" s="17"/>
      <c r="M50" s="17"/>
    </row>
    <row r="51" spans="1:16" x14ac:dyDescent="0.35">
      <c r="A51">
        <v>173</v>
      </c>
      <c r="B51" s="5">
        <v>45262</v>
      </c>
      <c r="C51" s="15" t="str">
        <f>VLOOKUP(A51,Inventory!$A$4:$K$1139,2)</f>
        <v>Costa Rica La Pradera SWP Decaf 2022</v>
      </c>
      <c r="F51" s="18" t="s">
        <v>237</v>
      </c>
      <c r="G51" s="2" t="s">
        <v>238</v>
      </c>
      <c r="L51" s="17"/>
      <c r="M51" s="17"/>
      <c r="P51" s="8"/>
    </row>
    <row r="52" spans="1:16" x14ac:dyDescent="0.35">
      <c r="I52" s="2" t="s">
        <v>239</v>
      </c>
      <c r="J52" s="1" t="s">
        <v>16</v>
      </c>
      <c r="L52" s="19"/>
      <c r="M52" s="19"/>
    </row>
    <row r="53" spans="1:16" x14ac:dyDescent="0.35">
      <c r="C53" s="11" t="s">
        <v>240</v>
      </c>
      <c r="D53" s="11" t="s">
        <v>241</v>
      </c>
      <c r="E53" s="11">
        <v>373</v>
      </c>
      <c r="F53" s="11">
        <v>379</v>
      </c>
      <c r="G53" s="11">
        <v>387</v>
      </c>
      <c r="H53" s="11">
        <v>394</v>
      </c>
      <c r="I53" s="11">
        <v>398</v>
      </c>
      <c r="J53" s="11" t="s">
        <v>312</v>
      </c>
      <c r="K53" s="11"/>
      <c r="L53" s="11"/>
    </row>
    <row r="54" spans="1:16" ht="15.75" customHeight="1" x14ac:dyDescent="0.35">
      <c r="B54" s="20" t="s">
        <v>242</v>
      </c>
      <c r="C54" s="21"/>
      <c r="D54" s="22" t="s">
        <v>243</v>
      </c>
      <c r="E54" s="23" t="s">
        <v>244</v>
      </c>
      <c r="F54" s="23" t="s">
        <v>245</v>
      </c>
      <c r="G54" s="23" t="s">
        <v>246</v>
      </c>
      <c r="H54" s="23" t="s">
        <v>247</v>
      </c>
      <c r="I54" s="23" t="s">
        <v>248</v>
      </c>
      <c r="O54" s="4"/>
    </row>
    <row r="55" spans="1:16" ht="1" customHeight="1" x14ac:dyDescent="0.35">
      <c r="B55" s="24" t="s">
        <v>249</v>
      </c>
      <c r="C55" s="25"/>
      <c r="D55" s="25"/>
      <c r="E55" s="25"/>
      <c r="F55" s="25">
        <v>384</v>
      </c>
      <c r="G55" s="25">
        <v>388</v>
      </c>
      <c r="H55" s="25">
        <v>392</v>
      </c>
      <c r="I55" s="25">
        <v>392</v>
      </c>
      <c r="O55" t="e">
        <f>(O53-3*O52)/O54</f>
        <v>#DIV/0!</v>
      </c>
    </row>
    <row r="56" spans="1:16" ht="15.75" customHeight="1" x14ac:dyDescent="0.35">
      <c r="B56" s="20" t="s">
        <v>250</v>
      </c>
      <c r="C56" s="26">
        <v>0.24652777777777779</v>
      </c>
      <c r="D56" s="26">
        <v>0.3298611111111111</v>
      </c>
      <c r="E56" s="26">
        <v>0.44097222222222227</v>
      </c>
      <c r="F56" s="26">
        <f>E56+'Lookup Tables'!$N$1</f>
        <v>0.46180555555555558</v>
      </c>
      <c r="G56" s="26">
        <f>F56+'Lookup Tables'!$N$1</f>
        <v>0.4826388888888889</v>
      </c>
      <c r="H56" s="26">
        <f>G56+'Lookup Tables'!$N$1</f>
        <v>0.50347222222222221</v>
      </c>
      <c r="I56" s="26">
        <f>H56+'Lookup Tables'!$N$1</f>
        <v>0.52430555555555558</v>
      </c>
      <c r="N56">
        <f>MAX(F53:M53)-O56</f>
        <v>25</v>
      </c>
      <c r="O56" t="str">
        <f>RIGHT(E53,3)</f>
        <v>373</v>
      </c>
    </row>
    <row r="57" spans="1:16" ht="15.75" customHeight="1" x14ac:dyDescent="0.35">
      <c r="B57" s="20" t="s">
        <v>251</v>
      </c>
      <c r="C57" s="27">
        <v>0.2</v>
      </c>
      <c r="D57" s="27">
        <v>0.5</v>
      </c>
      <c r="E57" s="27"/>
      <c r="F57" s="27"/>
      <c r="G57" s="27"/>
      <c r="H57" s="27"/>
      <c r="I57" s="27"/>
      <c r="N57" t="str">
        <f xml:space="preserve">  N56 &amp; " degrees this time"</f>
        <v>25 degrees this time</v>
      </c>
    </row>
    <row r="58" spans="1:16" ht="15.75" customHeight="1" x14ac:dyDescent="0.35">
      <c r="B58" s="20" t="s">
        <v>252</v>
      </c>
      <c r="C58" s="27">
        <v>0.9</v>
      </c>
      <c r="D58" s="27">
        <v>0.8</v>
      </c>
      <c r="E58" s="27">
        <v>0.7</v>
      </c>
      <c r="F58" s="27"/>
      <c r="G58" s="27">
        <v>0.5</v>
      </c>
      <c r="H58" s="27"/>
      <c r="I58" s="27"/>
    </row>
    <row r="59" spans="1:16" ht="15.75" customHeight="1" x14ac:dyDescent="0.35">
      <c r="B59" s="20"/>
      <c r="D59" s="11"/>
      <c r="E59" s="11"/>
      <c r="F59" s="28"/>
      <c r="H59" s="1"/>
      <c r="I59" s="1"/>
    </row>
    <row r="60" spans="1:16" ht="15.75" customHeight="1" x14ac:dyDescent="0.35">
      <c r="C60" s="1"/>
      <c r="G60" s="1" t="s">
        <v>253</v>
      </c>
      <c r="K60" s="12"/>
      <c r="L60" s="9"/>
      <c r="M60" s="9"/>
    </row>
    <row r="61" spans="1:16" ht="15.75" customHeight="1" x14ac:dyDescent="0.35">
      <c r="B61" s="20"/>
      <c r="G61" s="1"/>
      <c r="H61" s="1"/>
      <c r="K61" s="9"/>
      <c r="L61" s="9"/>
      <c r="M61" s="9"/>
    </row>
    <row r="62" spans="1:16" ht="15.75" customHeight="1" x14ac:dyDescent="0.35">
      <c r="B62" s="20"/>
      <c r="G62" s="1"/>
      <c r="H62" s="1"/>
      <c r="K62" s="9" t="s">
        <v>254</v>
      </c>
      <c r="L62" s="9"/>
      <c r="M62" s="9"/>
    </row>
    <row r="63" spans="1:16" ht="15.75" customHeight="1" x14ac:dyDescent="0.35">
      <c r="B63" s="9"/>
      <c r="C63" s="9"/>
      <c r="D63" s="9"/>
      <c r="E63" s="9"/>
      <c r="F63" s="12"/>
      <c r="G63" s="12"/>
      <c r="H63" s="12"/>
      <c r="I63" s="12"/>
      <c r="J63" s="12"/>
      <c r="K63" s="12"/>
      <c r="L63" s="1"/>
    </row>
    <row r="64" spans="1:16" ht="15.75" customHeight="1" x14ac:dyDescent="0.35">
      <c r="B64" s="13"/>
      <c r="C64" s="13"/>
      <c r="D64" s="15"/>
      <c r="F64" s="13"/>
      <c r="H64" s="14" t="s">
        <v>255</v>
      </c>
      <c r="I64" s="14"/>
    </row>
    <row r="65" spans="1:16" x14ac:dyDescent="0.35">
      <c r="B65" s="13" t="s">
        <v>5</v>
      </c>
      <c r="C65" s="13" t="s">
        <v>1</v>
      </c>
      <c r="D65" s="15" t="str">
        <f>VLOOKUP(A66,Inventory!$A$4:$K$1139,7)</f>
        <v xml:space="preserve">Sweet Marias                       </v>
      </c>
      <c r="F65" s="13" t="s">
        <v>235</v>
      </c>
      <c r="G65" s="16"/>
      <c r="H65" s="14" t="s">
        <v>256</v>
      </c>
    </row>
    <row r="66" spans="1:16" x14ac:dyDescent="0.35">
      <c r="A66">
        <v>173</v>
      </c>
      <c r="B66" s="5">
        <v>45262</v>
      </c>
      <c r="C66" s="15" t="str">
        <f>VLOOKUP(A66,Inventory!$A$4:$K$1139,2)</f>
        <v>Costa Rica La Pradera SWP Decaf 2022</v>
      </c>
      <c r="F66" s="18" t="s">
        <v>257</v>
      </c>
      <c r="G66" s="2" t="s">
        <v>238</v>
      </c>
      <c r="P66" s="8"/>
    </row>
    <row r="67" spans="1:16" x14ac:dyDescent="0.35">
      <c r="H67" s="2" t="s">
        <v>258</v>
      </c>
    </row>
    <row r="68" spans="1:16" x14ac:dyDescent="0.35">
      <c r="C68" s="11" t="s">
        <v>240</v>
      </c>
      <c r="D68" s="11" t="s">
        <v>241</v>
      </c>
      <c r="E68" s="11">
        <v>368</v>
      </c>
      <c r="F68" s="11">
        <v>371</v>
      </c>
      <c r="G68" s="11">
        <v>378</v>
      </c>
      <c r="H68" s="11">
        <v>384</v>
      </c>
      <c r="I68" s="11">
        <v>393</v>
      </c>
      <c r="J68" s="11"/>
      <c r="K68" s="11"/>
      <c r="L68" s="11"/>
    </row>
    <row r="69" spans="1:16" ht="15.75" customHeight="1" x14ac:dyDescent="0.35">
      <c r="B69" s="20" t="s">
        <v>242</v>
      </c>
      <c r="C69" s="21"/>
      <c r="D69" s="22" t="s">
        <v>243</v>
      </c>
      <c r="E69" s="23" t="s">
        <v>244</v>
      </c>
      <c r="F69" s="23" t="s">
        <v>245</v>
      </c>
      <c r="G69" s="23" t="s">
        <v>246</v>
      </c>
      <c r="H69" s="23" t="s">
        <v>247</v>
      </c>
      <c r="I69" s="23" t="s">
        <v>259</v>
      </c>
      <c r="J69" s="23" t="s">
        <v>260</v>
      </c>
      <c r="K69" s="23" t="s">
        <v>261</v>
      </c>
      <c r="O69" s="4"/>
    </row>
    <row r="70" spans="1:16" ht="1" customHeight="1" x14ac:dyDescent="0.35">
      <c r="B70" s="24" t="s">
        <v>249</v>
      </c>
      <c r="C70" s="25">
        <v>320</v>
      </c>
      <c r="D70" s="25">
        <v>350</v>
      </c>
      <c r="E70" s="25">
        <v>377</v>
      </c>
      <c r="F70" s="25">
        <v>384</v>
      </c>
      <c r="G70" s="25">
        <v>388</v>
      </c>
      <c r="H70" s="25">
        <v>392</v>
      </c>
      <c r="I70" s="25">
        <v>395</v>
      </c>
      <c r="J70" s="25">
        <v>415</v>
      </c>
      <c r="K70" s="25">
        <v>415</v>
      </c>
      <c r="O70" t="e">
        <f>(O68-3*O67)/O69</f>
        <v>#DIV/0!</v>
      </c>
    </row>
    <row r="71" spans="1:16" ht="15.75" customHeight="1" x14ac:dyDescent="0.35">
      <c r="B71" s="20" t="s">
        <v>250</v>
      </c>
      <c r="C71" s="26">
        <v>0.25</v>
      </c>
      <c r="D71" s="26">
        <v>0.33333333333333331</v>
      </c>
      <c r="E71" s="26">
        <v>0.4513888888888889</v>
      </c>
      <c r="F71" s="26">
        <f>E71+'Lookup Tables'!$N$1</f>
        <v>0.47222222222222221</v>
      </c>
      <c r="G71" s="26">
        <f>F71+'Lookup Tables'!$N$1</f>
        <v>0.49305555555555552</v>
      </c>
      <c r="H71" s="26">
        <f>G71+'Lookup Tables'!$N$1</f>
        <v>0.51388888888888884</v>
      </c>
      <c r="I71" s="26">
        <f>H71+'Lookup Tables'!$N$1</f>
        <v>0.53472222222222221</v>
      </c>
      <c r="J71" s="26">
        <f>I71+'Lookup Tables'!$M$1</f>
        <v>0.54513888888888884</v>
      </c>
      <c r="K71" s="26">
        <f>J71+'Lookup Tables'!$M$1</f>
        <v>0.55555555555555547</v>
      </c>
      <c r="N71">
        <f>MAX(F68:M68)-O71</f>
        <v>25</v>
      </c>
      <c r="O71" t="str">
        <f>RIGHT(E68,3)</f>
        <v>368</v>
      </c>
    </row>
    <row r="72" spans="1:16" ht="15.75" customHeight="1" x14ac:dyDescent="0.35">
      <c r="B72" s="20" t="s">
        <v>251</v>
      </c>
      <c r="C72" s="27">
        <v>0.2</v>
      </c>
      <c r="D72" s="27">
        <v>0.5</v>
      </c>
      <c r="E72" s="27"/>
      <c r="F72" s="27"/>
      <c r="G72" s="27"/>
      <c r="H72" s="27"/>
      <c r="I72" s="27"/>
      <c r="J72" s="27"/>
      <c r="K72" s="25"/>
      <c r="N72" t="str">
        <f xml:space="preserve">  N71 &amp; " degrees this time"</f>
        <v>25 degrees this time</v>
      </c>
    </row>
    <row r="73" spans="1:16" ht="15.75" customHeight="1" x14ac:dyDescent="0.35">
      <c r="B73" s="20" t="s">
        <v>252</v>
      </c>
      <c r="C73" s="27">
        <v>0.9</v>
      </c>
      <c r="D73" s="27">
        <v>0.7</v>
      </c>
      <c r="E73" s="27">
        <v>0.6</v>
      </c>
      <c r="F73" s="27"/>
      <c r="G73" s="27"/>
      <c r="H73" s="27"/>
      <c r="I73" s="27"/>
      <c r="J73" s="27"/>
      <c r="K73" s="27"/>
    </row>
    <row r="74" spans="1:16" ht="15.75" customHeight="1" x14ac:dyDescent="0.35">
      <c r="B74" s="20"/>
      <c r="D74" s="11"/>
      <c r="E74" s="11"/>
      <c r="F74" s="28"/>
      <c r="H74" s="1"/>
    </row>
    <row r="75" spans="1:16" ht="15.75" customHeight="1" x14ac:dyDescent="0.35">
      <c r="B75" s="1" t="s">
        <v>262</v>
      </c>
      <c r="F75" t="s">
        <v>263</v>
      </c>
      <c r="G75" s="1"/>
      <c r="K75" s="12"/>
      <c r="L75" s="9"/>
      <c r="M75" s="9"/>
    </row>
    <row r="76" spans="1:16" ht="15.75" customHeight="1" x14ac:dyDescent="0.35">
      <c r="B76" s="20" t="s">
        <v>264</v>
      </c>
      <c r="F76" t="s">
        <v>265</v>
      </c>
      <c r="G76" s="1"/>
      <c r="H76" s="1"/>
      <c r="K76" s="9" t="s">
        <v>266</v>
      </c>
      <c r="L76" s="9"/>
      <c r="M76" s="9"/>
    </row>
    <row r="77" spans="1:16" ht="15.75" customHeight="1" x14ac:dyDescent="0.35">
      <c r="B77" s="20" t="s">
        <v>567</v>
      </c>
      <c r="F77" t="s">
        <v>268</v>
      </c>
      <c r="G77" s="1"/>
      <c r="H77" s="1"/>
      <c r="K77" s="9" t="s">
        <v>254</v>
      </c>
      <c r="L77" s="9"/>
      <c r="M77" s="9"/>
    </row>
    <row r="78" spans="1:16" ht="15.75" hidden="1" customHeight="1" x14ac:dyDescent="0.35">
      <c r="B78" s="9"/>
      <c r="C78" s="9"/>
      <c r="D78" s="9"/>
      <c r="E78" s="9"/>
      <c r="F78" s="12"/>
      <c r="G78" s="12"/>
      <c r="H78" s="12"/>
      <c r="I78" s="12"/>
      <c r="J78" s="12"/>
      <c r="K78" s="12"/>
      <c r="L78" s="1"/>
    </row>
    <row r="79" spans="1:16" ht="15.75" customHeight="1" x14ac:dyDescent="0.35">
      <c r="B79" s="13"/>
      <c r="C79" s="13"/>
      <c r="D79" s="13"/>
      <c r="E79" s="13"/>
      <c r="F79" s="13"/>
      <c r="G79" s="13"/>
      <c r="I79" s="14"/>
    </row>
    <row r="80" spans="1:16" x14ac:dyDescent="0.35">
      <c r="B80" s="13" t="s">
        <v>5</v>
      </c>
      <c r="C80" s="13" t="s">
        <v>1</v>
      </c>
      <c r="D80" s="15" t="str">
        <f>VLOOKUP(A81,Inventory!$A$4:$K$1139,7)</f>
        <v xml:space="preserve">Sweet Marias                       </v>
      </c>
      <c r="F80" s="13" t="s">
        <v>235</v>
      </c>
      <c r="G80" s="16"/>
      <c r="H80" s="14" t="s">
        <v>236</v>
      </c>
      <c r="L80" s="17"/>
      <c r="M80" s="17"/>
    </row>
    <row r="81" spans="1:16" x14ac:dyDescent="0.35">
      <c r="A81">
        <v>174</v>
      </c>
      <c r="B81" s="5">
        <v>45262</v>
      </c>
      <c r="C81" s="15" t="str">
        <f>VLOOKUP(A81,Inventory!$A$4:$K$1139,2)</f>
        <v>Ethiopia Organic Yebuna Terara SWP Decaf 2022</v>
      </c>
      <c r="F81" s="18" t="s">
        <v>237</v>
      </c>
      <c r="G81" s="2" t="s">
        <v>238</v>
      </c>
      <c r="L81" s="17"/>
      <c r="M81" s="17"/>
      <c r="P81" s="8"/>
    </row>
    <row r="82" spans="1:16" x14ac:dyDescent="0.35">
      <c r="I82" s="2" t="s">
        <v>239</v>
      </c>
      <c r="J82" s="1" t="s">
        <v>16</v>
      </c>
      <c r="L82" s="19"/>
      <c r="M82" s="19"/>
    </row>
    <row r="83" spans="1:16" x14ac:dyDescent="0.35">
      <c r="C83" s="11" t="s">
        <v>240</v>
      </c>
      <c r="D83" s="11" t="s">
        <v>241</v>
      </c>
      <c r="E83" s="11">
        <v>374</v>
      </c>
      <c r="F83" s="11">
        <v>381</v>
      </c>
      <c r="G83" s="11">
        <v>388</v>
      </c>
      <c r="H83" s="11">
        <v>396</v>
      </c>
      <c r="I83" s="11">
        <v>399</v>
      </c>
      <c r="J83" s="11" t="s">
        <v>312</v>
      </c>
      <c r="K83" s="11"/>
      <c r="L83" s="11"/>
    </row>
    <row r="84" spans="1:16" ht="15.75" customHeight="1" x14ac:dyDescent="0.35">
      <c r="B84" s="20" t="s">
        <v>242</v>
      </c>
      <c r="C84" s="30"/>
      <c r="D84" s="30"/>
      <c r="E84" s="23" t="s">
        <v>244</v>
      </c>
      <c r="F84" s="23" t="s">
        <v>245</v>
      </c>
      <c r="G84" s="23" t="s">
        <v>246</v>
      </c>
      <c r="H84" s="23" t="s">
        <v>247</v>
      </c>
      <c r="I84" s="23" t="s">
        <v>248</v>
      </c>
      <c r="O84" s="4"/>
    </row>
    <row r="85" spans="1:16" ht="1" customHeight="1" x14ac:dyDescent="0.35">
      <c r="B85" s="24" t="s">
        <v>249</v>
      </c>
      <c r="C85" s="25">
        <v>320</v>
      </c>
      <c r="D85" s="25">
        <v>350</v>
      </c>
      <c r="E85" s="25">
        <v>377</v>
      </c>
      <c r="F85" s="25">
        <v>384</v>
      </c>
      <c r="G85" s="25">
        <v>388</v>
      </c>
      <c r="H85" s="25">
        <v>392</v>
      </c>
      <c r="I85" s="25">
        <v>392</v>
      </c>
      <c r="O85" t="e">
        <f>(O83-3*O82)/O84</f>
        <v>#DIV/0!</v>
      </c>
    </row>
    <row r="86" spans="1:16" ht="15.75" customHeight="1" x14ac:dyDescent="0.35">
      <c r="B86" s="20" t="s">
        <v>250</v>
      </c>
      <c r="C86" s="26">
        <v>0.24652777777777779</v>
      </c>
      <c r="D86" s="26">
        <v>0.3263888888888889</v>
      </c>
      <c r="E86" s="26">
        <v>0.4375</v>
      </c>
      <c r="F86" s="26">
        <f>E86+'Lookup Tables'!$N$1</f>
        <v>0.45833333333333331</v>
      </c>
      <c r="G86" s="26">
        <f>F86+'Lookup Tables'!$N$1</f>
        <v>0.47916666666666663</v>
      </c>
      <c r="H86" s="26">
        <f>G86+'Lookup Tables'!$N$1</f>
        <v>0.49999999999999994</v>
      </c>
      <c r="I86" s="26">
        <f>H86+'Lookup Tables'!$M$1</f>
        <v>0.51041666666666663</v>
      </c>
      <c r="N86">
        <f>MAX(F83:M83)-O86</f>
        <v>25</v>
      </c>
      <c r="O86" t="str">
        <f>RIGHT(E83,3)</f>
        <v>374</v>
      </c>
    </row>
    <row r="87" spans="1:16" ht="15.75" customHeight="1" x14ac:dyDescent="0.35">
      <c r="B87" s="20" t="s">
        <v>251</v>
      </c>
      <c r="C87" s="27">
        <v>0.2</v>
      </c>
      <c r="D87" s="27">
        <v>0.5</v>
      </c>
      <c r="E87" s="27"/>
      <c r="F87" s="27"/>
      <c r="G87" s="27"/>
      <c r="H87" s="27"/>
      <c r="I87" s="27"/>
      <c r="N87" t="str">
        <f xml:space="preserve">  N86 &amp; " degrees this time"</f>
        <v>25 degrees this time</v>
      </c>
    </row>
    <row r="88" spans="1:16" ht="15.75" customHeight="1" x14ac:dyDescent="0.35">
      <c r="B88" s="20" t="s">
        <v>252</v>
      </c>
      <c r="C88" s="27">
        <v>0.9</v>
      </c>
      <c r="D88" s="27">
        <v>0.8</v>
      </c>
      <c r="E88" s="27">
        <v>0.7</v>
      </c>
      <c r="F88" s="27"/>
      <c r="G88" s="27">
        <v>0.5</v>
      </c>
      <c r="H88" s="27"/>
      <c r="I88" s="27"/>
    </row>
    <row r="89" spans="1:16" ht="15.75" customHeight="1" x14ac:dyDescent="0.35">
      <c r="B89" s="20"/>
      <c r="D89" s="11"/>
      <c r="E89" s="11"/>
      <c r="F89" s="28"/>
      <c r="H89" s="1"/>
      <c r="I89" s="1"/>
    </row>
    <row r="90" spans="1:16" ht="15.75" customHeight="1" x14ac:dyDescent="0.35">
      <c r="C90" s="1"/>
      <c r="G90" s="1" t="s">
        <v>253</v>
      </c>
      <c r="K90" s="12"/>
      <c r="L90" s="9"/>
      <c r="M90" s="9"/>
    </row>
    <row r="91" spans="1:16" ht="15.75" customHeight="1" x14ac:dyDescent="0.35">
      <c r="B91" s="20"/>
      <c r="G91" s="1"/>
      <c r="H91" s="1"/>
      <c r="K91" s="9"/>
      <c r="L91" s="9"/>
      <c r="M91" s="9"/>
    </row>
    <row r="92" spans="1:16" ht="15.75" customHeight="1" x14ac:dyDescent="0.35">
      <c r="B92" s="20"/>
      <c r="G92" s="1"/>
      <c r="H92" s="1"/>
      <c r="K92" s="9" t="s">
        <v>254</v>
      </c>
      <c r="L92" s="9"/>
      <c r="M92" s="9"/>
    </row>
    <row r="93" spans="1:16" ht="15.75" customHeight="1" x14ac:dyDescent="0.35">
      <c r="B93" s="9"/>
      <c r="C93" s="9"/>
      <c r="D93" s="9"/>
      <c r="E93" s="9"/>
      <c r="F93" s="12"/>
      <c r="G93" s="12"/>
      <c r="H93" s="12"/>
      <c r="I93" s="12"/>
      <c r="J93" s="12"/>
      <c r="K93" s="12"/>
      <c r="L93" s="1"/>
    </row>
    <row r="94" spans="1:16" ht="15.75" customHeight="1" x14ac:dyDescent="0.35">
      <c r="B94" s="13"/>
      <c r="C94" s="13"/>
      <c r="D94" s="15"/>
      <c r="F94" s="13"/>
      <c r="H94" s="14" t="s">
        <v>255</v>
      </c>
      <c r="I94" s="14"/>
    </row>
    <row r="95" spans="1:16" x14ac:dyDescent="0.35">
      <c r="B95" s="13" t="s">
        <v>5</v>
      </c>
      <c r="C95" s="13" t="s">
        <v>1</v>
      </c>
      <c r="D95" s="15" t="str">
        <f>VLOOKUP(A96,Inventory!$A$4:$K$1139,7)</f>
        <v xml:space="preserve">Sweet Marias                       </v>
      </c>
      <c r="F95" s="13" t="s">
        <v>235</v>
      </c>
      <c r="G95" s="16"/>
      <c r="H95" s="14" t="s">
        <v>256</v>
      </c>
    </row>
    <row r="96" spans="1:16" x14ac:dyDescent="0.35">
      <c r="A96">
        <v>174</v>
      </c>
      <c r="B96" s="5">
        <v>45262</v>
      </c>
      <c r="C96" s="15" t="str">
        <f>VLOOKUP(A96,Inventory!$A$4:$K$1139,2)</f>
        <v>Ethiopia Organic Yebuna Terara SWP Decaf 2022</v>
      </c>
      <c r="F96" s="18" t="s">
        <v>257</v>
      </c>
      <c r="G96" s="2" t="s">
        <v>238</v>
      </c>
      <c r="P96" s="8"/>
    </row>
    <row r="97" spans="1:16" x14ac:dyDescent="0.35">
      <c r="H97" s="2" t="s">
        <v>258</v>
      </c>
    </row>
    <row r="98" spans="1:16" x14ac:dyDescent="0.35">
      <c r="C98" s="11" t="s">
        <v>240</v>
      </c>
      <c r="D98" s="11" t="s">
        <v>241</v>
      </c>
      <c r="E98" s="11">
        <v>370</v>
      </c>
      <c r="F98" s="11">
        <v>374</v>
      </c>
      <c r="G98" s="11">
        <v>380</v>
      </c>
      <c r="H98" s="11">
        <v>386</v>
      </c>
      <c r="I98" s="11">
        <v>393</v>
      </c>
      <c r="J98" s="11"/>
      <c r="K98" s="11"/>
      <c r="L98" s="11"/>
    </row>
    <row r="99" spans="1:16" ht="15.75" customHeight="1" x14ac:dyDescent="0.35">
      <c r="B99" s="20" t="s">
        <v>242</v>
      </c>
      <c r="C99" s="30"/>
      <c r="D99" s="30"/>
      <c r="E99" s="23" t="s">
        <v>244</v>
      </c>
      <c r="F99" s="23" t="s">
        <v>245</v>
      </c>
      <c r="G99" s="23" t="s">
        <v>246</v>
      </c>
      <c r="H99" s="23" t="s">
        <v>247</v>
      </c>
      <c r="I99" s="23" t="s">
        <v>259</v>
      </c>
      <c r="J99" s="23" t="s">
        <v>260</v>
      </c>
      <c r="K99" s="23" t="s">
        <v>261</v>
      </c>
      <c r="O99" s="4"/>
    </row>
    <row r="100" spans="1:16" ht="1" customHeight="1" x14ac:dyDescent="0.35">
      <c r="B100" s="24" t="s">
        <v>249</v>
      </c>
      <c r="C100" s="25">
        <v>320</v>
      </c>
      <c r="D100" s="25">
        <v>350</v>
      </c>
      <c r="E100" s="25">
        <v>377</v>
      </c>
      <c r="F100" s="25">
        <v>384</v>
      </c>
      <c r="G100" s="25">
        <v>388</v>
      </c>
      <c r="H100" s="25">
        <v>392</v>
      </c>
      <c r="I100" s="25">
        <v>395</v>
      </c>
      <c r="J100" s="25">
        <v>415</v>
      </c>
      <c r="K100" s="25">
        <v>415</v>
      </c>
      <c r="O100" t="e">
        <f>(O98-3*O97)/O99</f>
        <v>#DIV/0!</v>
      </c>
    </row>
    <row r="101" spans="1:16" ht="15.75" customHeight="1" x14ac:dyDescent="0.35">
      <c r="B101" s="20" t="s">
        <v>250</v>
      </c>
      <c r="C101" s="26">
        <v>0.24305555555555555</v>
      </c>
      <c r="D101" s="26">
        <v>0.3263888888888889</v>
      </c>
      <c r="E101" s="26">
        <v>0.44097222222222227</v>
      </c>
      <c r="F101" s="26">
        <f>E101+'Lookup Tables'!$N$1</f>
        <v>0.46180555555555558</v>
      </c>
      <c r="G101" s="26">
        <f>F101+'Lookup Tables'!$N$1</f>
        <v>0.4826388888888889</v>
      </c>
      <c r="H101" s="26">
        <f>G101+'Lookup Tables'!$N$1</f>
        <v>0.50347222222222221</v>
      </c>
      <c r="I101" s="26">
        <f>H101+'Lookup Tables'!$N$1</f>
        <v>0.52430555555555558</v>
      </c>
      <c r="J101" s="26">
        <f>I101+'Lookup Tables'!$M$1</f>
        <v>0.53472222222222221</v>
      </c>
      <c r="K101" s="26">
        <f>J101+'Lookup Tables'!$M$1</f>
        <v>0.54513888888888884</v>
      </c>
      <c r="N101">
        <f>MAX(F98:M98)-O101</f>
        <v>23</v>
      </c>
      <c r="O101" t="str">
        <f>RIGHT(E98,3)</f>
        <v>370</v>
      </c>
    </row>
    <row r="102" spans="1:16" ht="15.75" customHeight="1" x14ac:dyDescent="0.35">
      <c r="B102" s="20" t="s">
        <v>251</v>
      </c>
      <c r="C102" s="27">
        <v>0.2</v>
      </c>
      <c r="D102" s="27">
        <v>0.5</v>
      </c>
      <c r="E102" s="27"/>
      <c r="F102" s="27"/>
      <c r="G102" s="27"/>
      <c r="H102" s="27"/>
      <c r="I102" s="27"/>
      <c r="J102" s="27"/>
      <c r="K102" s="25"/>
      <c r="N102" t="str">
        <f xml:space="preserve">  N101 &amp; " degrees this time"</f>
        <v>23 degrees this time</v>
      </c>
    </row>
    <row r="103" spans="1:16" ht="15.75" customHeight="1" x14ac:dyDescent="0.35">
      <c r="B103" s="20" t="s">
        <v>252</v>
      </c>
      <c r="C103" s="27">
        <v>0.9</v>
      </c>
      <c r="D103" s="27">
        <v>0.7</v>
      </c>
      <c r="E103" s="27">
        <v>0.6</v>
      </c>
      <c r="F103" s="27"/>
      <c r="G103" s="27"/>
      <c r="H103" s="27"/>
      <c r="I103" s="27"/>
      <c r="J103" s="27"/>
      <c r="K103" s="27"/>
    </row>
    <row r="104" spans="1:16" ht="15.75" customHeight="1" x14ac:dyDescent="0.35">
      <c r="B104" s="20"/>
      <c r="D104" s="11"/>
      <c r="E104" s="11"/>
      <c r="F104" s="28"/>
      <c r="H104" s="1"/>
    </row>
    <row r="105" spans="1:16" ht="15.75" customHeight="1" x14ac:dyDescent="0.35">
      <c r="B105" s="1" t="s">
        <v>262</v>
      </c>
      <c r="F105" t="s">
        <v>263</v>
      </c>
      <c r="G105" s="1"/>
      <c r="K105" s="12"/>
      <c r="L105" s="9"/>
      <c r="M105" s="9"/>
    </row>
    <row r="106" spans="1:16" ht="15.75" customHeight="1" x14ac:dyDescent="0.35">
      <c r="B106" s="20" t="s">
        <v>264</v>
      </c>
      <c r="D106" s="29"/>
      <c r="F106" t="s">
        <v>265</v>
      </c>
      <c r="G106" s="1"/>
      <c r="H106" s="1"/>
      <c r="K106" s="9" t="s">
        <v>266</v>
      </c>
      <c r="L106" s="9"/>
      <c r="M106" s="9"/>
    </row>
    <row r="107" spans="1:16" ht="15.75" customHeight="1" x14ac:dyDescent="0.35">
      <c r="B107" s="20" t="s">
        <v>267</v>
      </c>
      <c r="F107" t="s">
        <v>268</v>
      </c>
      <c r="G107" s="1"/>
      <c r="H107" s="1"/>
      <c r="K107" s="9" t="s">
        <v>254</v>
      </c>
      <c r="L107" s="9"/>
      <c r="M107" s="9"/>
    </row>
    <row r="108" spans="1:16" ht="15.75" customHeight="1" x14ac:dyDescent="0.35">
      <c r="B108" s="9"/>
      <c r="C108" s="9"/>
      <c r="D108" s="9"/>
      <c r="E108" s="9"/>
      <c r="F108" s="12"/>
      <c r="G108" s="12"/>
      <c r="H108" s="12"/>
      <c r="I108" s="12"/>
      <c r="J108" s="12"/>
      <c r="K108" s="12"/>
      <c r="L108" s="1"/>
    </row>
    <row r="109" spans="1:16" ht="15.75" customHeight="1" x14ac:dyDescent="0.35">
      <c r="B109" s="13"/>
      <c r="C109" s="13"/>
      <c r="D109" s="15"/>
      <c r="E109" s="15"/>
      <c r="F109" s="15"/>
      <c r="G109" s="16"/>
      <c r="H109" s="14" t="s">
        <v>255</v>
      </c>
      <c r="I109" s="14"/>
    </row>
    <row r="110" spans="1:16" x14ac:dyDescent="0.35">
      <c r="B110" s="13" t="s">
        <v>5</v>
      </c>
      <c r="C110" s="13" t="s">
        <v>1</v>
      </c>
      <c r="D110" s="15" t="str">
        <f>VLOOKUP(A111,Inventory!$A$4:$K$1139,7)</f>
        <v xml:space="preserve">Sweet Marias                       </v>
      </c>
      <c r="F110" s="13" t="s">
        <v>235</v>
      </c>
      <c r="G110" s="16"/>
      <c r="H110" s="14"/>
      <c r="L110" s="17"/>
      <c r="M110" s="17"/>
    </row>
    <row r="111" spans="1:16" x14ac:dyDescent="0.35">
      <c r="A111">
        <v>169</v>
      </c>
      <c r="B111" s="5">
        <v>45257</v>
      </c>
      <c r="C111" s="15" t="str">
        <f>VLOOKUP(A111,Inventory!$A$4:$K$1139,2)</f>
        <v>Yemen Mokha Matari 2021</v>
      </c>
      <c r="F111" s="31" t="s">
        <v>291</v>
      </c>
      <c r="G111" s="2" t="s">
        <v>286</v>
      </c>
      <c r="L111" s="17"/>
      <c r="M111" s="17"/>
      <c r="P111" s="8"/>
    </row>
    <row r="112" spans="1:16" x14ac:dyDescent="0.35">
      <c r="B112" t="s">
        <v>16</v>
      </c>
      <c r="G112" s="16"/>
      <c r="L112" s="19"/>
      <c r="M112" s="19"/>
    </row>
    <row r="113" spans="1:16" x14ac:dyDescent="0.35">
      <c r="B113" s="20"/>
      <c r="C113" s="11" t="s">
        <v>240</v>
      </c>
      <c r="D113" s="11" t="s">
        <v>272</v>
      </c>
      <c r="E113" s="11">
        <v>373</v>
      </c>
      <c r="F113" s="11">
        <v>379</v>
      </c>
      <c r="G113" s="11">
        <v>391</v>
      </c>
      <c r="H113" s="11">
        <v>393</v>
      </c>
      <c r="I113" s="11">
        <v>395</v>
      </c>
      <c r="J113" s="11" t="s">
        <v>313</v>
      </c>
      <c r="K113" s="11"/>
      <c r="L113" s="28"/>
    </row>
    <row r="114" spans="1:16" ht="15.75" customHeight="1" x14ac:dyDescent="0.35">
      <c r="B114" s="20" t="s">
        <v>242</v>
      </c>
      <c r="C114" s="21"/>
      <c r="D114" s="22" t="s">
        <v>294</v>
      </c>
      <c r="E114" s="23" t="s">
        <v>244</v>
      </c>
      <c r="F114" s="23" t="s">
        <v>245</v>
      </c>
      <c r="G114" s="23" t="s">
        <v>246</v>
      </c>
      <c r="H114" s="23" t="s">
        <v>273</v>
      </c>
      <c r="I114" s="23" t="s">
        <v>247</v>
      </c>
      <c r="O114" s="4"/>
    </row>
    <row r="115" spans="1:16" ht="1" customHeight="1" x14ac:dyDescent="0.35">
      <c r="B115" s="24" t="s">
        <v>249</v>
      </c>
      <c r="C115" s="25">
        <v>320</v>
      </c>
      <c r="D115" s="25">
        <v>350</v>
      </c>
      <c r="E115" s="25"/>
      <c r="F115" s="25"/>
      <c r="G115" s="25"/>
      <c r="H115" s="23" t="s">
        <v>247</v>
      </c>
      <c r="I115" s="25"/>
      <c r="O115" t="e">
        <f>(O113-3*O112)/O114</f>
        <v>#DIV/0!</v>
      </c>
    </row>
    <row r="116" spans="1:16" ht="15.75" customHeight="1" x14ac:dyDescent="0.35">
      <c r="B116" s="20" t="s">
        <v>250</v>
      </c>
      <c r="C116" s="26">
        <v>0.21527777777777779</v>
      </c>
      <c r="D116" s="26">
        <v>0.30902777777777779</v>
      </c>
      <c r="E116" s="26">
        <v>0.40277777777777773</v>
      </c>
      <c r="F116" s="26">
        <f>E116+'Lookup Tables'!$N$1</f>
        <v>0.42361111111111105</v>
      </c>
      <c r="G116" s="26">
        <f>F116+'Lookup Tables'!$N$1</f>
        <v>0.44444444444444436</v>
      </c>
      <c r="H116" s="26">
        <f>G116+'Lookup Tables'!$S$1</f>
        <v>0.45486111111111105</v>
      </c>
      <c r="I116" s="26">
        <f>H116+'Lookup Tables'!$S$1</f>
        <v>0.46527777777777773</v>
      </c>
      <c r="J116" s="11"/>
      <c r="K116" s="11"/>
      <c r="N116">
        <f>MAX(F113:M113)-O116</f>
        <v>22</v>
      </c>
      <c r="O116" t="str">
        <f>RIGHT(E113,3)</f>
        <v>373</v>
      </c>
    </row>
    <row r="117" spans="1:16" ht="15.75" customHeight="1" x14ac:dyDescent="0.35">
      <c r="B117" s="20" t="s">
        <v>251</v>
      </c>
      <c r="C117" s="27">
        <v>0.2</v>
      </c>
      <c r="D117" s="27">
        <v>0.5</v>
      </c>
      <c r="E117" s="27"/>
      <c r="F117" s="27"/>
      <c r="G117" s="27">
        <v>0.25</v>
      </c>
      <c r="H117" s="27"/>
      <c r="I117" s="27"/>
      <c r="N117" t="str">
        <f xml:space="preserve">  N116 &amp; " degrees this time"</f>
        <v>22 degrees this time</v>
      </c>
    </row>
    <row r="118" spans="1:16" ht="15.75" customHeight="1" x14ac:dyDescent="0.35">
      <c r="B118" s="20" t="s">
        <v>252</v>
      </c>
      <c r="C118" s="27">
        <v>0.9</v>
      </c>
      <c r="D118" s="27">
        <v>0.7</v>
      </c>
      <c r="E118" s="27">
        <v>0.7</v>
      </c>
      <c r="F118" s="27">
        <v>0.5</v>
      </c>
      <c r="G118" s="27"/>
      <c r="H118" s="27" t="s">
        <v>275</v>
      </c>
      <c r="I118" s="27" t="s">
        <v>275</v>
      </c>
    </row>
    <row r="119" spans="1:16" ht="15.75" customHeight="1" x14ac:dyDescent="0.35">
      <c r="B119" s="20"/>
      <c r="D119" s="11"/>
      <c r="E119" s="40"/>
      <c r="F119" s="11"/>
      <c r="G119" s="11"/>
      <c r="K119" s="32" t="s">
        <v>314</v>
      </c>
      <c r="L119" s="9"/>
      <c r="M119" s="9"/>
    </row>
    <row r="120" spans="1:16" ht="15.75" customHeight="1" x14ac:dyDescent="0.35">
      <c r="B120" s="38"/>
      <c r="D120" s="15"/>
      <c r="F120" s="13"/>
      <c r="G120" s="1" t="s">
        <v>296</v>
      </c>
      <c r="K120" s="32"/>
      <c r="L120" s="9"/>
      <c r="M120" s="9"/>
    </row>
    <row r="121" spans="1:16" ht="15.75" customHeight="1" x14ac:dyDescent="0.35">
      <c r="B121" s="20"/>
      <c r="G121" s="1"/>
      <c r="H121" s="1"/>
      <c r="K121" s="9"/>
      <c r="L121" s="9"/>
      <c r="M121" s="9"/>
    </row>
    <row r="122" spans="1:16" ht="15.75" customHeight="1" x14ac:dyDescent="0.35">
      <c r="B122" s="20"/>
      <c r="G122" s="1"/>
      <c r="H122" s="1"/>
      <c r="K122" s="9" t="s">
        <v>297</v>
      </c>
      <c r="L122" s="9"/>
      <c r="M122" s="9"/>
    </row>
    <row r="123" spans="1:16" ht="15.75" customHeight="1" x14ac:dyDescent="0.35">
      <c r="B123" s="9"/>
      <c r="C123" s="9"/>
      <c r="D123" s="9"/>
      <c r="E123" s="9"/>
      <c r="F123" s="12"/>
      <c r="G123" s="12"/>
      <c r="H123" s="12"/>
      <c r="I123" s="12"/>
      <c r="J123" s="12"/>
      <c r="K123" s="12"/>
      <c r="L123" s="1"/>
    </row>
    <row r="124" spans="1:16" ht="15.75" customHeight="1" x14ac:dyDescent="0.35">
      <c r="B124" s="13"/>
      <c r="C124" s="13"/>
      <c r="D124" s="13"/>
      <c r="E124" s="13"/>
      <c r="G124" s="13"/>
      <c r="H124" s="14" t="s">
        <v>255</v>
      </c>
      <c r="I124" s="13"/>
    </row>
    <row r="125" spans="1:16" x14ac:dyDescent="0.35">
      <c r="B125" s="13" t="s">
        <v>5</v>
      </c>
      <c r="C125" s="13" t="s">
        <v>1</v>
      </c>
      <c r="D125" s="15" t="str">
        <f>VLOOKUP(A126,Inventory!$A$4:$K$1139,7)</f>
        <v xml:space="preserve">Klatch                             </v>
      </c>
      <c r="F125" s="13" t="s">
        <v>235</v>
      </c>
      <c r="G125" s="16"/>
      <c r="J125" s="2"/>
      <c r="L125" s="17"/>
      <c r="M125" s="17"/>
    </row>
    <row r="126" spans="1:16" x14ac:dyDescent="0.35">
      <c r="A126">
        <v>166</v>
      </c>
      <c r="B126" s="5">
        <v>45257</v>
      </c>
      <c r="C126" s="15" t="str">
        <f>VLOOKUP(A126,Inventory!$A$4:$K$1139,2)</f>
        <v>Panama Elida Natural 2020</v>
      </c>
      <c r="F126" s="31" t="s">
        <v>315</v>
      </c>
      <c r="G126" s="2" t="s">
        <v>270</v>
      </c>
      <c r="L126" s="17"/>
      <c r="M126" s="17"/>
      <c r="P126" s="8"/>
    </row>
    <row r="127" spans="1:16" x14ac:dyDescent="0.35">
      <c r="F127" s="31" t="s">
        <v>271</v>
      </c>
      <c r="G127" s="16"/>
      <c r="L127" s="19"/>
      <c r="M127" s="19"/>
    </row>
    <row r="128" spans="1:16" x14ac:dyDescent="0.35">
      <c r="B128" s="20"/>
      <c r="C128" s="11" t="s">
        <v>240</v>
      </c>
      <c r="D128" s="11" t="s">
        <v>272</v>
      </c>
      <c r="E128" s="11">
        <v>365</v>
      </c>
      <c r="F128" s="11">
        <v>372</v>
      </c>
      <c r="G128" s="11">
        <v>377</v>
      </c>
      <c r="H128" s="11">
        <v>381</v>
      </c>
      <c r="I128" s="11"/>
      <c r="J128" s="11"/>
      <c r="K128" s="28"/>
      <c r="L128" s="28"/>
    </row>
    <row r="129" spans="1:16" ht="15.75" customHeight="1" x14ac:dyDescent="0.35">
      <c r="B129" s="20" t="s">
        <v>242</v>
      </c>
      <c r="C129" s="30"/>
      <c r="D129" s="30"/>
      <c r="E129" s="23" t="s">
        <v>244</v>
      </c>
      <c r="F129" s="23" t="s">
        <v>245</v>
      </c>
      <c r="G129" s="23" t="s">
        <v>246</v>
      </c>
      <c r="H129" s="23" t="s">
        <v>273</v>
      </c>
      <c r="O129" s="4"/>
    </row>
    <row r="130" spans="1:16" ht="1" customHeight="1" x14ac:dyDescent="0.35">
      <c r="B130" s="24" t="s">
        <v>249</v>
      </c>
      <c r="C130" s="25"/>
      <c r="D130" s="25"/>
      <c r="E130" s="25"/>
      <c r="F130" s="25"/>
      <c r="G130" s="25"/>
      <c r="H130" s="25"/>
      <c r="O130" t="e">
        <f>(O128-3*O127)/O129</f>
        <v>#DIV/0!</v>
      </c>
    </row>
    <row r="131" spans="1:16" ht="15.75" customHeight="1" x14ac:dyDescent="0.35">
      <c r="B131" s="20" t="s">
        <v>250</v>
      </c>
      <c r="C131" s="26">
        <v>0.25694444444444448</v>
      </c>
      <c r="D131" s="26">
        <v>0.3611111111111111</v>
      </c>
      <c r="E131" s="26">
        <v>0.4375</v>
      </c>
      <c r="F131" s="26">
        <f>E131+'Lookup Tables'!$N$1</f>
        <v>0.45833333333333331</v>
      </c>
      <c r="G131" s="26">
        <f>F131+'Lookup Tables'!$N$1</f>
        <v>0.47916666666666663</v>
      </c>
      <c r="H131" s="26">
        <f>G131+'Lookup Tables'!$S$1</f>
        <v>0.48958333333333331</v>
      </c>
      <c r="N131">
        <f>MAX(F128:M128)-O131</f>
        <v>16</v>
      </c>
      <c r="O131" t="str">
        <f>RIGHT(E128,3)</f>
        <v>365</v>
      </c>
    </row>
    <row r="132" spans="1:16" ht="15.75" customHeight="1" x14ac:dyDescent="0.35">
      <c r="B132" s="20" t="s">
        <v>251</v>
      </c>
      <c r="C132" s="27">
        <v>0.2</v>
      </c>
      <c r="D132" s="27">
        <v>0.5</v>
      </c>
      <c r="E132" s="27">
        <v>0.5</v>
      </c>
      <c r="F132" s="27" t="s">
        <v>274</v>
      </c>
      <c r="G132" s="27"/>
      <c r="H132" s="25"/>
      <c r="N132" t="str">
        <f xml:space="preserve">  N131 &amp; " degrees this time"</f>
        <v>16 degrees this time</v>
      </c>
    </row>
    <row r="133" spans="1:16" ht="15.75" customHeight="1" x14ac:dyDescent="0.35">
      <c r="B133" s="20" t="s">
        <v>252</v>
      </c>
      <c r="C133" s="27">
        <v>0.9</v>
      </c>
      <c r="D133" s="27">
        <v>0.7</v>
      </c>
      <c r="E133" s="27">
        <v>0.4</v>
      </c>
      <c r="F133" s="27" t="s">
        <v>274</v>
      </c>
      <c r="G133" s="27"/>
      <c r="H133" s="27" t="s">
        <v>275</v>
      </c>
    </row>
    <row r="134" spans="1:16" ht="15.75" customHeight="1" x14ac:dyDescent="0.35">
      <c r="B134" s="20"/>
      <c r="D134" s="11"/>
      <c r="E134" s="11"/>
      <c r="F134" s="11"/>
    </row>
    <row r="135" spans="1:16" ht="15.75" customHeight="1" x14ac:dyDescent="0.35">
      <c r="B135" s="20"/>
      <c r="C135" s="30"/>
      <c r="D135" s="11"/>
      <c r="E135" s="11"/>
      <c r="F135" s="11"/>
      <c r="G135" s="1" t="s">
        <v>276</v>
      </c>
      <c r="K135" s="32"/>
      <c r="L135" s="9"/>
      <c r="M135" s="9"/>
    </row>
    <row r="136" spans="1:16" ht="15.75" customHeight="1" x14ac:dyDescent="0.35">
      <c r="B136" s="20"/>
      <c r="G136" s="1"/>
      <c r="H136" s="1"/>
      <c r="K136" s="9"/>
      <c r="L136" s="9"/>
      <c r="M136" s="9"/>
    </row>
    <row r="137" spans="1:16" ht="15.75" customHeight="1" x14ac:dyDescent="0.35">
      <c r="B137" s="20"/>
      <c r="G137" s="1"/>
      <c r="H137" s="1"/>
      <c r="K137" s="32" t="s">
        <v>277</v>
      </c>
      <c r="L137" s="9"/>
      <c r="M137" s="9"/>
    </row>
    <row r="138" spans="1:16" ht="15.75" customHeight="1" x14ac:dyDescent="0.35">
      <c r="B138" s="9"/>
      <c r="C138" s="9"/>
      <c r="D138" s="9"/>
      <c r="E138" s="9"/>
      <c r="F138" s="12"/>
      <c r="G138" s="12"/>
      <c r="H138" s="12"/>
      <c r="I138" s="12"/>
      <c r="J138" s="12"/>
      <c r="K138" s="12"/>
      <c r="L138" s="1"/>
    </row>
    <row r="139" spans="1:16" ht="15.75" customHeight="1" x14ac:dyDescent="0.35">
      <c r="B139" s="13"/>
      <c r="C139" s="13"/>
      <c r="D139" s="15"/>
      <c r="F139" s="33" t="s">
        <v>316</v>
      </c>
      <c r="G139" s="16"/>
      <c r="H139" s="14"/>
    </row>
    <row r="140" spans="1:16" x14ac:dyDescent="0.35">
      <c r="B140" s="13" t="s">
        <v>5</v>
      </c>
      <c r="C140" s="13" t="s">
        <v>1</v>
      </c>
      <c r="D140" s="15" t="str">
        <f>VLOOKUP(A141,Inventory!$A$4:$K$1139,7)</f>
        <v>Captain's Coffee</v>
      </c>
      <c r="F140" s="13" t="s">
        <v>235</v>
      </c>
      <c r="G140" s="16"/>
      <c r="H140" s="16"/>
      <c r="I140" s="16"/>
      <c r="J140" s="16"/>
      <c r="L140" s="17"/>
      <c r="M140" s="17"/>
    </row>
    <row r="141" spans="1:16" x14ac:dyDescent="0.35">
      <c r="A141">
        <v>176</v>
      </c>
      <c r="B141" s="5">
        <v>45257</v>
      </c>
      <c r="C141" s="15" t="str">
        <f>VLOOKUP(A141,Inventory!$A$4:$K$1139,2)</f>
        <v>Rwanda Nyamasheke Cyesha Natural 2022</v>
      </c>
      <c r="F141" s="34" t="s">
        <v>279</v>
      </c>
      <c r="G141" s="2" t="s">
        <v>270</v>
      </c>
      <c r="L141" s="17"/>
      <c r="M141" s="17"/>
      <c r="P141" s="8"/>
    </row>
    <row r="142" spans="1:16" x14ac:dyDescent="0.35">
      <c r="L142" s="19"/>
      <c r="M142" s="19"/>
    </row>
    <row r="143" spans="1:16" x14ac:dyDescent="0.35">
      <c r="B143" s="20"/>
      <c r="C143" s="11" t="s">
        <v>240</v>
      </c>
      <c r="D143" s="11" t="s">
        <v>241</v>
      </c>
      <c r="E143" s="11">
        <v>376</v>
      </c>
      <c r="F143" s="11">
        <v>385</v>
      </c>
      <c r="G143" s="11">
        <v>394</v>
      </c>
      <c r="H143" s="11">
        <v>402</v>
      </c>
      <c r="I143" s="11"/>
      <c r="J143" s="11"/>
      <c r="K143" s="11"/>
      <c r="L143" s="28"/>
    </row>
    <row r="144" spans="1:16" ht="15.75" customHeight="1" x14ac:dyDescent="0.35">
      <c r="A144" t="s">
        <v>16</v>
      </c>
      <c r="B144" s="20" t="s">
        <v>242</v>
      </c>
      <c r="C144" s="30"/>
      <c r="D144" s="30"/>
      <c r="E144" s="23" t="s">
        <v>244</v>
      </c>
      <c r="F144" s="23" t="s">
        <v>245</v>
      </c>
      <c r="G144" s="23" t="s">
        <v>246</v>
      </c>
      <c r="H144" s="23" t="s">
        <v>247</v>
      </c>
      <c r="O144" s="4"/>
    </row>
    <row r="145" spans="1:16" ht="1" customHeight="1" x14ac:dyDescent="0.35">
      <c r="B145" s="24" t="s">
        <v>249</v>
      </c>
      <c r="C145" s="25"/>
      <c r="D145" s="25"/>
      <c r="E145" s="25">
        <v>388</v>
      </c>
      <c r="F145" s="25">
        <v>393</v>
      </c>
      <c r="G145" s="25">
        <v>397</v>
      </c>
      <c r="H145" s="25">
        <v>401</v>
      </c>
      <c r="I145" t="s">
        <v>280</v>
      </c>
      <c r="J145" t="s">
        <v>280</v>
      </c>
      <c r="K145" t="s">
        <v>280</v>
      </c>
      <c r="O145" t="e">
        <f>(O143-3*O142)/O144</f>
        <v>#DIV/0!</v>
      </c>
    </row>
    <row r="146" spans="1:16" ht="15.75" customHeight="1" x14ac:dyDescent="0.35">
      <c r="B146" s="20" t="s">
        <v>250</v>
      </c>
      <c r="C146" s="26">
        <v>0.22222222222222221</v>
      </c>
      <c r="D146" s="26">
        <v>0.30208333333333331</v>
      </c>
      <c r="E146" s="26">
        <v>0.39930555555555558</v>
      </c>
      <c r="F146" s="26">
        <f>E146+'Lookup Tables'!$N$1</f>
        <v>0.4201388888888889</v>
      </c>
      <c r="G146" s="26">
        <f>F146+'Lookup Tables'!$N$1</f>
        <v>0.44097222222222221</v>
      </c>
      <c r="H146" s="26">
        <f>G146+'Lookup Tables'!$N$1</f>
        <v>0.46180555555555552</v>
      </c>
      <c r="N146">
        <f>MAX(F143:M143)-O146</f>
        <v>26</v>
      </c>
      <c r="O146" t="str">
        <f>RIGHT(E143,3)</f>
        <v>376</v>
      </c>
    </row>
    <row r="147" spans="1:16" ht="15.75" customHeight="1" x14ac:dyDescent="0.35">
      <c r="B147" s="20" t="s">
        <v>251</v>
      </c>
      <c r="C147" s="27">
        <v>0.2</v>
      </c>
      <c r="D147" s="27">
        <v>0.5</v>
      </c>
      <c r="E147" s="27"/>
      <c r="F147" s="27"/>
      <c r="G147" s="27"/>
      <c r="H147" s="27"/>
      <c r="N147" t="str">
        <f xml:space="preserve">  N146 &amp; " degrees this time"</f>
        <v>26 degrees this time</v>
      </c>
    </row>
    <row r="148" spans="1:16" ht="15.75" customHeight="1" x14ac:dyDescent="0.35">
      <c r="B148" s="20" t="s">
        <v>252</v>
      </c>
      <c r="C148" s="27">
        <v>0.9</v>
      </c>
      <c r="D148" s="27">
        <v>0.8</v>
      </c>
      <c r="E148" s="27">
        <v>0.6</v>
      </c>
      <c r="F148" s="27">
        <v>0.5</v>
      </c>
      <c r="G148" s="27">
        <v>0.3</v>
      </c>
      <c r="H148" s="27" t="s">
        <v>275</v>
      </c>
    </row>
    <row r="149" spans="1:16" ht="15.75" customHeight="1" x14ac:dyDescent="0.35">
      <c r="B149" s="20"/>
      <c r="C149" s="30"/>
      <c r="D149" s="11"/>
      <c r="E149" s="11"/>
      <c r="F149" s="11"/>
      <c r="H149" s="1"/>
      <c r="J149" s="35"/>
    </row>
    <row r="150" spans="1:16" ht="15.75" customHeight="1" x14ac:dyDescent="0.35">
      <c r="G150" s="1" t="s">
        <v>317</v>
      </c>
      <c r="K150" s="32" t="s">
        <v>318</v>
      </c>
      <c r="L150" s="9"/>
      <c r="M150" s="9"/>
    </row>
    <row r="151" spans="1:16" ht="15.75" customHeight="1" x14ac:dyDescent="0.35">
      <c r="B151" s="20"/>
      <c r="G151" s="1"/>
      <c r="H151" s="1"/>
      <c r="K151" s="32"/>
      <c r="L151" s="9"/>
      <c r="M151" s="9"/>
    </row>
    <row r="152" spans="1:16" ht="15.75" customHeight="1" x14ac:dyDescent="0.35">
      <c r="B152" s="20"/>
      <c r="G152" s="1"/>
      <c r="H152" s="1"/>
      <c r="K152" s="32" t="s">
        <v>254</v>
      </c>
      <c r="L152" s="9"/>
      <c r="M152" s="9"/>
    </row>
    <row r="153" spans="1:16" ht="15.75" customHeight="1" x14ac:dyDescent="0.35">
      <c r="B153" s="9"/>
      <c r="C153" s="9"/>
      <c r="D153" s="9"/>
      <c r="E153" s="9"/>
      <c r="F153" s="12"/>
      <c r="G153" s="12"/>
      <c r="H153" s="12"/>
      <c r="I153" s="12"/>
      <c r="J153" s="12"/>
      <c r="K153" s="12"/>
      <c r="L153" s="1"/>
    </row>
    <row r="154" spans="1:16" ht="15.75" customHeight="1" x14ac:dyDescent="0.35">
      <c r="B154" s="13"/>
      <c r="C154" s="13"/>
      <c r="D154" s="13"/>
      <c r="E154" s="13"/>
      <c r="F154" s="33" t="s">
        <v>316</v>
      </c>
      <c r="G154" s="13"/>
      <c r="H154" s="14"/>
      <c r="I154" s="13"/>
    </row>
    <row r="155" spans="1:16" x14ac:dyDescent="0.35">
      <c r="B155" s="13" t="s">
        <v>5</v>
      </c>
      <c r="C155" s="13" t="s">
        <v>1</v>
      </c>
      <c r="D155" s="15" t="str">
        <f>VLOOKUP(A156,Inventory!$A$4:$K$1139,7)</f>
        <v>Captain's Coffee</v>
      </c>
      <c r="F155" s="13" t="s">
        <v>235</v>
      </c>
      <c r="G155" s="16"/>
      <c r="J155" s="8"/>
      <c r="K155" s="17"/>
      <c r="L155" s="17"/>
      <c r="M155" s="17"/>
    </row>
    <row r="156" spans="1:16" x14ac:dyDescent="0.35">
      <c r="A156">
        <v>177</v>
      </c>
      <c r="B156" s="5">
        <v>45257</v>
      </c>
      <c r="C156" s="15" t="str">
        <f>VLOOKUP(A156,Inventory!$A$4:$K$1139,2)</f>
        <v>Costa Rica Tarrazu La Pastora 2022</v>
      </c>
      <c r="F156" s="34" t="s">
        <v>279</v>
      </c>
      <c r="G156" s="2" t="s">
        <v>270</v>
      </c>
      <c r="K156" s="17"/>
      <c r="L156" s="17"/>
      <c r="M156" s="17"/>
      <c r="P156" s="8"/>
    </row>
    <row r="157" spans="1:16" x14ac:dyDescent="0.35">
      <c r="G157" s="16"/>
      <c r="J157" s="19"/>
      <c r="K157" s="19"/>
      <c r="L157" s="19"/>
      <c r="M157" s="19"/>
    </row>
    <row r="158" spans="1:16" x14ac:dyDescent="0.35">
      <c r="B158" s="20"/>
      <c r="C158" s="11" t="s">
        <v>240</v>
      </c>
      <c r="D158" s="11" t="s">
        <v>272</v>
      </c>
      <c r="E158" s="11" t="s">
        <v>319</v>
      </c>
      <c r="F158" s="11">
        <v>382</v>
      </c>
      <c r="G158" s="11">
        <v>390</v>
      </c>
      <c r="H158" s="11">
        <v>397</v>
      </c>
      <c r="I158" s="11">
        <v>401</v>
      </c>
      <c r="J158" s="28" t="s">
        <v>320</v>
      </c>
      <c r="K158" s="11"/>
      <c r="L158" s="28"/>
    </row>
    <row r="159" spans="1:16" ht="15.75" customHeight="1" x14ac:dyDescent="0.35">
      <c r="B159" s="20" t="s">
        <v>242</v>
      </c>
      <c r="C159" s="30"/>
      <c r="D159" s="30"/>
      <c r="E159" s="23" t="s">
        <v>244</v>
      </c>
      <c r="F159" s="23" t="s">
        <v>245</v>
      </c>
      <c r="G159" s="23" t="s">
        <v>246</v>
      </c>
      <c r="H159" s="23" t="s">
        <v>247</v>
      </c>
      <c r="I159" s="23" t="s">
        <v>248</v>
      </c>
      <c r="O159" s="4"/>
    </row>
    <row r="160" spans="1:16" ht="1" customHeight="1" x14ac:dyDescent="0.35">
      <c r="B160" s="24" t="s">
        <v>249</v>
      </c>
      <c r="C160" s="25"/>
      <c r="D160" s="25"/>
      <c r="E160" s="25"/>
      <c r="F160" s="25"/>
      <c r="G160" s="25"/>
      <c r="H160" s="25"/>
      <c r="I160" s="25"/>
      <c r="O160" t="e">
        <f>(O158-3*O157)/O159</f>
        <v>#DIV/0!</v>
      </c>
    </row>
    <row r="161" spans="1:16" ht="15.75" customHeight="1" x14ac:dyDescent="0.35">
      <c r="B161" s="20" t="s">
        <v>250</v>
      </c>
      <c r="C161" s="26">
        <v>0.22916666666666666</v>
      </c>
      <c r="D161" s="26">
        <v>0.31597222222222221</v>
      </c>
      <c r="E161" s="26">
        <v>0.40277777777777773</v>
      </c>
      <c r="F161" s="26">
        <f>E161+'Lookup Tables'!$N$1</f>
        <v>0.42361111111111105</v>
      </c>
      <c r="G161" s="26">
        <f>F161+'Lookup Tables'!$N$1</f>
        <v>0.44444444444444436</v>
      </c>
      <c r="H161" s="26">
        <f>G161+'Lookup Tables'!$N$1</f>
        <v>0.46527777777777768</v>
      </c>
      <c r="I161" s="26">
        <f>H161+'Lookup Tables'!$S$1</f>
        <v>0.47569444444444436</v>
      </c>
      <c r="N161">
        <f>MAX(F158:M158)-O161</f>
        <v>28</v>
      </c>
      <c r="O161" t="str">
        <f>RIGHT(E158,3)</f>
        <v>373</v>
      </c>
    </row>
    <row r="162" spans="1:16" ht="15.75" customHeight="1" x14ac:dyDescent="0.35">
      <c r="B162" s="20" t="s">
        <v>251</v>
      </c>
      <c r="C162" s="27">
        <v>0.2</v>
      </c>
      <c r="D162" s="27">
        <v>0.5</v>
      </c>
      <c r="E162" s="25"/>
      <c r="F162" s="27"/>
      <c r="G162" s="27"/>
      <c r="H162" s="25" t="s">
        <v>274</v>
      </c>
      <c r="I162" s="27"/>
      <c r="N162" t="str">
        <f xml:space="preserve">  N161 &amp; " degrees this time"</f>
        <v>28 degrees this time</v>
      </c>
    </row>
    <row r="163" spans="1:16" ht="15.75" customHeight="1" x14ac:dyDescent="0.35">
      <c r="B163" s="20" t="s">
        <v>252</v>
      </c>
      <c r="C163" s="27">
        <v>0.9</v>
      </c>
      <c r="D163" s="27">
        <v>0.8</v>
      </c>
      <c r="E163" s="27">
        <v>0.6</v>
      </c>
      <c r="F163" s="27"/>
      <c r="G163" s="27"/>
      <c r="H163" s="25" t="s">
        <v>274</v>
      </c>
      <c r="I163" s="27" t="s">
        <v>275</v>
      </c>
    </row>
    <row r="164" spans="1:16" ht="15.75" customHeight="1" x14ac:dyDescent="0.35">
      <c r="B164" s="20"/>
      <c r="C164" s="30"/>
      <c r="D164" s="11"/>
      <c r="E164" s="11"/>
      <c r="F164" s="11"/>
      <c r="G164" s="1"/>
      <c r="H164" s="1"/>
      <c r="I164" s="1"/>
    </row>
    <row r="165" spans="1:16" ht="15.75" customHeight="1" x14ac:dyDescent="0.35">
      <c r="B165" s="20"/>
      <c r="C165" s="30"/>
      <c r="D165" s="11"/>
      <c r="E165" s="11"/>
      <c r="F165" s="11"/>
      <c r="G165" s="1" t="s">
        <v>281</v>
      </c>
      <c r="K165" s="32" t="s">
        <v>321</v>
      </c>
      <c r="L165" s="9"/>
      <c r="M165" s="9"/>
    </row>
    <row r="166" spans="1:16" ht="15.75" customHeight="1" x14ac:dyDescent="0.35">
      <c r="B166" s="20"/>
      <c r="G166" s="1"/>
      <c r="H166" s="1"/>
      <c r="K166" s="32"/>
      <c r="L166" s="9"/>
      <c r="M166" s="9"/>
    </row>
    <row r="167" spans="1:16" ht="15.75" customHeight="1" x14ac:dyDescent="0.35">
      <c r="B167" s="20"/>
      <c r="G167" s="1"/>
      <c r="H167" s="1"/>
      <c r="K167" s="9" t="s">
        <v>254</v>
      </c>
      <c r="L167" s="9"/>
      <c r="M167" s="9"/>
    </row>
    <row r="168" spans="1:16" ht="15.75" customHeight="1" x14ac:dyDescent="0.35">
      <c r="B168" s="9"/>
      <c r="C168" s="9"/>
      <c r="D168" s="9"/>
      <c r="E168" s="9"/>
      <c r="F168" s="12"/>
      <c r="G168" s="12"/>
      <c r="H168" s="12"/>
      <c r="I168" s="12"/>
      <c r="J168" s="12"/>
      <c r="K168" s="12"/>
      <c r="L168" s="1"/>
    </row>
    <row r="169" spans="1:16" ht="15.75" customHeight="1" x14ac:dyDescent="0.35">
      <c r="B169" s="13"/>
      <c r="C169" s="13"/>
      <c r="D169" s="15"/>
    </row>
    <row r="170" spans="1:16" x14ac:dyDescent="0.35">
      <c r="B170" s="13" t="s">
        <v>5</v>
      </c>
      <c r="C170" s="13" t="s">
        <v>1</v>
      </c>
      <c r="D170" s="15" t="str">
        <f>VLOOKUP(A171,Inventory!$A$4:$K$1139,7)</f>
        <v xml:space="preserve">Klatch                             </v>
      </c>
      <c r="F170" s="13" t="s">
        <v>235</v>
      </c>
      <c r="G170" s="16"/>
      <c r="L170" s="17"/>
      <c r="M170" s="17"/>
    </row>
    <row r="171" spans="1:16" x14ac:dyDescent="0.35">
      <c r="A171">
        <v>168</v>
      </c>
      <c r="B171" s="5">
        <v>45246</v>
      </c>
      <c r="C171" s="15" t="str">
        <f>VLOOKUP(A171,Inventory!$A$4:$K$1139,2)</f>
        <v>Ethiopia Yirgacheffe BedHatu Washed 2021</v>
      </c>
      <c r="F171" s="39" t="s">
        <v>291</v>
      </c>
      <c r="G171" s="2" t="s">
        <v>286</v>
      </c>
      <c r="L171" s="17"/>
      <c r="M171" s="17"/>
      <c r="P171" s="8"/>
    </row>
    <row r="172" spans="1:16" x14ac:dyDescent="0.35">
      <c r="G172" s="16"/>
      <c r="L172" s="19"/>
      <c r="M172" s="19"/>
    </row>
    <row r="173" spans="1:16" x14ac:dyDescent="0.35">
      <c r="B173" s="20"/>
      <c r="C173" s="11" t="s">
        <v>240</v>
      </c>
      <c r="D173" s="11" t="s">
        <v>241</v>
      </c>
      <c r="E173" s="11">
        <v>368</v>
      </c>
      <c r="F173" s="11">
        <v>375</v>
      </c>
      <c r="G173" s="11">
        <v>381</v>
      </c>
      <c r="H173" s="11">
        <v>389</v>
      </c>
      <c r="I173" s="11">
        <v>393</v>
      </c>
      <c r="J173" s="11">
        <v>396</v>
      </c>
      <c r="K173" s="11"/>
    </row>
    <row r="174" spans="1:16" ht="15.75" customHeight="1" x14ac:dyDescent="0.35">
      <c r="B174" s="20" t="s">
        <v>242</v>
      </c>
      <c r="C174" s="30"/>
      <c r="D174" s="30"/>
      <c r="E174" s="23" t="s">
        <v>244</v>
      </c>
      <c r="F174" s="23" t="s">
        <v>245</v>
      </c>
      <c r="G174" s="23" t="s">
        <v>246</v>
      </c>
      <c r="H174" s="23" t="s">
        <v>247</v>
      </c>
      <c r="I174" s="23" t="s">
        <v>248</v>
      </c>
      <c r="J174" s="23" t="s">
        <v>259</v>
      </c>
      <c r="O174" s="4"/>
    </row>
    <row r="175" spans="1:16" ht="1" customHeight="1" x14ac:dyDescent="0.35">
      <c r="B175" s="24" t="s">
        <v>249</v>
      </c>
      <c r="C175" s="25"/>
      <c r="D175" s="25"/>
      <c r="E175" s="25"/>
      <c r="F175" s="25"/>
      <c r="G175" s="25"/>
      <c r="H175" s="25"/>
      <c r="I175" s="25"/>
      <c r="J175" s="25"/>
      <c r="O175" t="e">
        <f>(O173-3*O172)/O174</f>
        <v>#DIV/0!</v>
      </c>
    </row>
    <row r="176" spans="1:16" ht="15.75" customHeight="1" x14ac:dyDescent="0.35">
      <c r="B176" s="20" t="s">
        <v>250</v>
      </c>
      <c r="C176" s="26">
        <v>0.20486111111111113</v>
      </c>
      <c r="D176" s="26">
        <v>0.27430555555555552</v>
      </c>
      <c r="E176" s="26">
        <v>0.3611111111111111</v>
      </c>
      <c r="F176" s="26">
        <f>E176+'Lookup Tables'!$N$1</f>
        <v>0.38194444444444442</v>
      </c>
      <c r="G176" s="26">
        <f>F176+'Lookup Tables'!$N$1</f>
        <v>0.40277777777777773</v>
      </c>
      <c r="H176" s="26">
        <f>G176+'Lookup Tables'!$N$1</f>
        <v>0.42361111111111105</v>
      </c>
      <c r="I176" s="26">
        <f>H176+'Lookup Tables'!$S$1</f>
        <v>0.43402777777777773</v>
      </c>
      <c r="J176" s="26">
        <f>I176+'Lookup Tables'!$S$1</f>
        <v>0.44444444444444442</v>
      </c>
      <c r="N176">
        <f>MAX(F173:M173)-O176</f>
        <v>28</v>
      </c>
      <c r="O176" t="str">
        <f>RIGHT(E173,3)</f>
        <v>368</v>
      </c>
    </row>
    <row r="177" spans="1:16" ht="15.75" customHeight="1" x14ac:dyDescent="0.35">
      <c r="B177" s="20" t="s">
        <v>251</v>
      </c>
      <c r="C177" s="27">
        <v>0.2</v>
      </c>
      <c r="D177" s="27">
        <v>0.5</v>
      </c>
      <c r="E177" s="27"/>
      <c r="F177" s="27"/>
      <c r="G177" s="27"/>
      <c r="H177" s="25"/>
      <c r="I177" s="27"/>
      <c r="J177" s="27"/>
      <c r="N177" t="str">
        <f xml:space="preserve">  N176 &amp; " degrees this time"</f>
        <v>28 degrees this time</v>
      </c>
    </row>
    <row r="178" spans="1:16" ht="15.75" customHeight="1" x14ac:dyDescent="0.35">
      <c r="B178" s="20" t="s">
        <v>252</v>
      </c>
      <c r="C178" s="27">
        <v>0.9</v>
      </c>
      <c r="D178" s="27">
        <v>0.8</v>
      </c>
      <c r="E178" s="27"/>
      <c r="F178" s="27"/>
      <c r="G178" s="27">
        <v>0.5</v>
      </c>
      <c r="H178" s="27"/>
      <c r="I178" s="27"/>
      <c r="J178" s="27" t="s">
        <v>275</v>
      </c>
    </row>
    <row r="179" spans="1:16" ht="15.75" customHeight="1" x14ac:dyDescent="0.35">
      <c r="B179" s="20"/>
      <c r="C179" s="30"/>
      <c r="D179" s="11"/>
      <c r="E179" s="1"/>
      <c r="F179" s="11"/>
      <c r="G179" s="11"/>
      <c r="H179" s="11"/>
    </row>
    <row r="180" spans="1:16" ht="15.75" customHeight="1" x14ac:dyDescent="0.35">
      <c r="B180" s="38"/>
      <c r="D180" s="11"/>
      <c r="E180" s="11"/>
      <c r="F180" s="11"/>
      <c r="G180" s="1" t="s">
        <v>292</v>
      </c>
      <c r="K180" s="9" t="s">
        <v>293</v>
      </c>
      <c r="L180" s="9"/>
      <c r="M180" s="9"/>
    </row>
    <row r="181" spans="1:16" ht="15.75" customHeight="1" x14ac:dyDescent="0.35">
      <c r="B181" s="20"/>
      <c r="G181" s="1"/>
      <c r="H181" s="1"/>
      <c r="K181" s="32"/>
      <c r="L181" s="9"/>
      <c r="M181" s="9"/>
    </row>
    <row r="182" spans="1:16" ht="15.75" customHeight="1" x14ac:dyDescent="0.35">
      <c r="B182" s="20"/>
      <c r="G182" s="1"/>
      <c r="H182" s="1"/>
      <c r="K182" s="9" t="s">
        <v>254</v>
      </c>
      <c r="L182" s="9"/>
      <c r="M182" s="9"/>
    </row>
    <row r="183" spans="1:16" ht="15.75" customHeight="1" x14ac:dyDescent="0.35">
      <c r="B183" s="9"/>
      <c r="C183" s="9"/>
      <c r="D183" s="9"/>
      <c r="E183" s="9"/>
      <c r="F183" s="12"/>
      <c r="G183" s="12"/>
      <c r="H183" s="12"/>
      <c r="I183" s="12"/>
      <c r="J183" s="12"/>
      <c r="K183" s="12"/>
      <c r="L183" s="1"/>
    </row>
    <row r="184" spans="1:16" ht="15.75" customHeight="1" x14ac:dyDescent="0.35">
      <c r="B184" s="13"/>
      <c r="C184" s="13"/>
      <c r="D184" s="15"/>
      <c r="E184" s="15"/>
      <c r="F184" s="15"/>
      <c r="G184" s="16"/>
      <c r="H184" s="14" t="s">
        <v>255</v>
      </c>
      <c r="I184" s="14"/>
    </row>
    <row r="185" spans="1:16" x14ac:dyDescent="0.35">
      <c r="B185" s="13" t="s">
        <v>5</v>
      </c>
      <c r="C185" s="13" t="s">
        <v>1</v>
      </c>
      <c r="D185" s="15" t="str">
        <f>VLOOKUP(A186,Inventory!$A$4:$K$1139,7)</f>
        <v xml:space="preserve">Sweet Marias                       </v>
      </c>
      <c r="F185" s="13" t="s">
        <v>235</v>
      </c>
      <c r="G185" s="16"/>
      <c r="H185" s="14"/>
      <c r="L185" s="17"/>
      <c r="M185" s="17"/>
    </row>
    <row r="186" spans="1:16" x14ac:dyDescent="0.35">
      <c r="A186">
        <v>169</v>
      </c>
      <c r="B186" s="5">
        <v>45246</v>
      </c>
      <c r="C186" s="15" t="str">
        <f>VLOOKUP(A186,Inventory!$A$4:$K$1139,2)</f>
        <v>Yemen Mokha Matari 2021</v>
      </c>
      <c r="F186" s="31" t="s">
        <v>291</v>
      </c>
      <c r="G186" s="2" t="s">
        <v>286</v>
      </c>
      <c r="L186" s="17"/>
      <c r="M186" s="17"/>
      <c r="P186" s="8"/>
    </row>
    <row r="187" spans="1:16" x14ac:dyDescent="0.35">
      <c r="B187" t="s">
        <v>16</v>
      </c>
      <c r="G187" s="16"/>
      <c r="L187" s="19"/>
      <c r="M187" s="19"/>
    </row>
    <row r="188" spans="1:16" x14ac:dyDescent="0.35">
      <c r="B188" s="20"/>
      <c r="C188" s="11" t="s">
        <v>240</v>
      </c>
      <c r="D188" s="11" t="s">
        <v>272</v>
      </c>
      <c r="E188" s="11">
        <v>372</v>
      </c>
      <c r="F188" s="11">
        <v>377</v>
      </c>
      <c r="G188" s="11">
        <v>387</v>
      </c>
      <c r="H188" s="11">
        <v>392</v>
      </c>
      <c r="I188" s="11">
        <v>393</v>
      </c>
      <c r="J188" s="11" t="s">
        <v>313</v>
      </c>
      <c r="K188" s="11"/>
    </row>
    <row r="189" spans="1:16" ht="15.75" customHeight="1" x14ac:dyDescent="0.35">
      <c r="B189" s="20" t="s">
        <v>242</v>
      </c>
      <c r="C189" s="21"/>
      <c r="D189" s="22" t="s">
        <v>294</v>
      </c>
      <c r="E189" s="23" t="s">
        <v>244</v>
      </c>
      <c r="F189" s="23" t="s">
        <v>245</v>
      </c>
      <c r="G189" s="23" t="s">
        <v>246</v>
      </c>
      <c r="H189" s="23" t="s">
        <v>273</v>
      </c>
      <c r="I189" s="23" t="s">
        <v>247</v>
      </c>
      <c r="O189" s="4"/>
    </row>
    <row r="190" spans="1:16" ht="1" customHeight="1" x14ac:dyDescent="0.35">
      <c r="B190" s="24" t="s">
        <v>249</v>
      </c>
      <c r="C190" s="25">
        <v>320</v>
      </c>
      <c r="D190" s="25">
        <v>350</v>
      </c>
      <c r="E190" s="25"/>
      <c r="F190" s="25"/>
      <c r="G190" s="25"/>
      <c r="H190" s="23" t="s">
        <v>247</v>
      </c>
      <c r="I190" s="25"/>
      <c r="O190" t="e">
        <f>(O188-3*O187)/O189</f>
        <v>#DIV/0!</v>
      </c>
    </row>
    <row r="191" spans="1:16" ht="15.75" customHeight="1" x14ac:dyDescent="0.35">
      <c r="B191" s="20" t="s">
        <v>250</v>
      </c>
      <c r="C191" s="26">
        <v>0.21875</v>
      </c>
      <c r="D191" s="26">
        <v>0.31944444444444448</v>
      </c>
      <c r="E191" s="26">
        <v>0.41319444444444442</v>
      </c>
      <c r="F191" s="26">
        <f>E191+'Lookup Tables'!$N$1</f>
        <v>0.43402777777777773</v>
      </c>
      <c r="G191" s="26">
        <f>F191+'Lookup Tables'!$N$1</f>
        <v>0.45486111111111105</v>
      </c>
      <c r="H191" s="26">
        <f>G191+'Lookup Tables'!$S$1</f>
        <v>0.46527777777777773</v>
      </c>
      <c r="I191" s="26">
        <f>H191+'Lookup Tables'!$S$1</f>
        <v>0.47569444444444442</v>
      </c>
      <c r="J191" s="11"/>
      <c r="K191" s="11"/>
      <c r="N191">
        <f>MAX(F188:M188)-O191</f>
        <v>21</v>
      </c>
      <c r="O191" t="str">
        <f>RIGHT(E188,3)</f>
        <v>372</v>
      </c>
    </row>
    <row r="192" spans="1:16" ht="15.75" customHeight="1" x14ac:dyDescent="0.35">
      <c r="B192" s="20" t="s">
        <v>251</v>
      </c>
      <c r="C192" s="27">
        <v>0.2</v>
      </c>
      <c r="D192" s="27">
        <v>0.5</v>
      </c>
      <c r="E192" s="27"/>
      <c r="F192" s="27"/>
      <c r="G192" s="27">
        <v>0.25</v>
      </c>
      <c r="H192" s="27"/>
      <c r="I192" s="27"/>
      <c r="N192" t="str">
        <f xml:space="preserve">  N191 &amp; " degrees this time"</f>
        <v>21 degrees this time</v>
      </c>
    </row>
    <row r="193" spans="1:16" ht="15.75" customHeight="1" x14ac:dyDescent="0.35">
      <c r="B193" s="20" t="s">
        <v>252</v>
      </c>
      <c r="C193" s="27">
        <v>0.9</v>
      </c>
      <c r="D193" s="27">
        <v>0.7</v>
      </c>
      <c r="E193" s="27"/>
      <c r="F193" s="27">
        <v>0.5</v>
      </c>
      <c r="G193" s="27"/>
      <c r="H193" s="27" t="s">
        <v>275</v>
      </c>
      <c r="I193" s="27" t="s">
        <v>275</v>
      </c>
    </row>
    <row r="194" spans="1:16" ht="15.75" customHeight="1" x14ac:dyDescent="0.35">
      <c r="B194" s="20"/>
      <c r="D194" s="11"/>
      <c r="E194" s="40"/>
      <c r="F194" s="11"/>
      <c r="G194" s="11"/>
      <c r="K194" s="32" t="s">
        <v>295</v>
      </c>
      <c r="L194" s="9"/>
      <c r="M194" s="9"/>
    </row>
    <row r="195" spans="1:16" ht="15.75" customHeight="1" x14ac:dyDescent="0.35">
      <c r="B195" s="38"/>
      <c r="D195" s="15"/>
      <c r="F195" s="13"/>
      <c r="G195" s="1" t="s">
        <v>296</v>
      </c>
      <c r="K195" s="32"/>
      <c r="L195" s="9"/>
      <c r="M195" s="9"/>
    </row>
    <row r="196" spans="1:16" ht="15.75" customHeight="1" x14ac:dyDescent="0.35">
      <c r="B196" s="20"/>
      <c r="G196" s="1"/>
      <c r="H196" s="1"/>
      <c r="K196" s="9"/>
      <c r="L196" s="9"/>
      <c r="M196" s="9"/>
    </row>
    <row r="197" spans="1:16" ht="15.75" customHeight="1" x14ac:dyDescent="0.35">
      <c r="B197" s="20"/>
      <c r="G197" s="1"/>
      <c r="H197" s="1"/>
      <c r="K197" s="9" t="s">
        <v>297</v>
      </c>
      <c r="L197" s="9"/>
      <c r="M197" s="9"/>
    </row>
    <row r="198" spans="1:16" ht="15.75" customHeight="1" x14ac:dyDescent="0.35">
      <c r="B198" s="9"/>
      <c r="C198" s="9"/>
      <c r="D198" s="9"/>
      <c r="E198" s="9"/>
      <c r="F198" s="12"/>
      <c r="G198" s="12"/>
      <c r="H198" s="12"/>
      <c r="I198" s="12"/>
      <c r="J198" s="12"/>
      <c r="K198" s="12"/>
      <c r="L198" s="1"/>
    </row>
    <row r="199" spans="1:16" ht="15.75" customHeight="1" x14ac:dyDescent="0.35">
      <c r="B199" s="13"/>
      <c r="C199" s="13"/>
      <c r="D199" s="15"/>
      <c r="F199" s="33" t="s">
        <v>305</v>
      </c>
      <c r="H199" s="14" t="s">
        <v>255</v>
      </c>
    </row>
    <row r="200" spans="1:16" x14ac:dyDescent="0.35">
      <c r="B200" s="13" t="s">
        <v>5</v>
      </c>
      <c r="C200" s="13" t="s">
        <v>1</v>
      </c>
      <c r="D200" s="15" t="str">
        <f>VLOOKUP(A201,Inventory!$A$4:$K$1139,7)</f>
        <v>Captain's Coffee</v>
      </c>
      <c r="F200" s="13" t="s">
        <v>235</v>
      </c>
      <c r="G200" s="16"/>
      <c r="L200" s="17"/>
      <c r="M200" s="17"/>
    </row>
    <row r="201" spans="1:16" x14ac:dyDescent="0.35">
      <c r="A201">
        <v>178</v>
      </c>
      <c r="B201" s="5">
        <v>45246</v>
      </c>
      <c r="C201" s="15" t="str">
        <f>VLOOKUP(A201,Inventory!$A$4:$K$1139,2)</f>
        <v>Ethiopia Sidama Bensa Keramo Washed 2022</v>
      </c>
      <c r="E201" s="11"/>
      <c r="F201" s="31" t="s">
        <v>291</v>
      </c>
      <c r="G201" s="2" t="s">
        <v>286</v>
      </c>
      <c r="L201" s="17"/>
      <c r="M201" s="17"/>
      <c r="P201" s="8"/>
    </row>
    <row r="202" spans="1:16" x14ac:dyDescent="0.35">
      <c r="D202" s="11"/>
      <c r="E202" s="11"/>
      <c r="G202" s="16"/>
      <c r="K202" s="2"/>
      <c r="L202" s="19"/>
      <c r="M202" s="19"/>
    </row>
    <row r="203" spans="1:16" x14ac:dyDescent="0.35">
      <c r="B203" s="20"/>
      <c r="C203" s="11" t="s">
        <v>240</v>
      </c>
      <c r="D203" s="11" t="s">
        <v>272</v>
      </c>
      <c r="E203" s="11">
        <v>368</v>
      </c>
      <c r="F203" s="11">
        <v>377</v>
      </c>
      <c r="G203" s="11">
        <v>386</v>
      </c>
      <c r="H203" s="11" t="s">
        <v>322</v>
      </c>
      <c r="I203" s="2"/>
      <c r="J203" s="11"/>
      <c r="K203" s="11"/>
    </row>
    <row r="204" spans="1:16" ht="15.75" customHeight="1" x14ac:dyDescent="0.35">
      <c r="B204" s="20" t="s">
        <v>242</v>
      </c>
      <c r="C204" s="21"/>
      <c r="D204" s="22" t="s">
        <v>299</v>
      </c>
      <c r="E204" s="23" t="s">
        <v>244</v>
      </c>
      <c r="F204" s="23" t="s">
        <v>245</v>
      </c>
      <c r="G204" s="23" t="s">
        <v>246</v>
      </c>
      <c r="H204" s="23" t="s">
        <v>247</v>
      </c>
      <c r="O204" s="4"/>
    </row>
    <row r="205" spans="1:16" ht="1" customHeight="1" x14ac:dyDescent="0.35">
      <c r="B205" s="24" t="s">
        <v>249</v>
      </c>
      <c r="C205" s="25"/>
      <c r="D205" s="25"/>
      <c r="E205" s="25"/>
      <c r="F205" s="25"/>
      <c r="G205" s="25"/>
      <c r="H205" s="25"/>
      <c r="O205" t="e">
        <f>(O203-3*O202)/O204</f>
        <v>#DIV/0!</v>
      </c>
    </row>
    <row r="206" spans="1:16" ht="15.75" customHeight="1" x14ac:dyDescent="0.35">
      <c r="B206" s="20" t="s">
        <v>250</v>
      </c>
      <c r="C206" s="26">
        <v>0.18055555555555555</v>
      </c>
      <c r="D206" s="26">
        <v>0.2673611111111111</v>
      </c>
      <c r="E206" s="26">
        <v>0.375</v>
      </c>
      <c r="F206" s="26">
        <f>E206+'Lookup Tables'!$N$1</f>
        <v>0.39583333333333331</v>
      </c>
      <c r="G206" s="26">
        <f>F206+'Lookup Tables'!$N$1</f>
        <v>0.41666666666666663</v>
      </c>
      <c r="H206" s="26">
        <f>G206+'Lookup Tables'!$N$1</f>
        <v>0.43749999999999994</v>
      </c>
      <c r="N206">
        <f>MAX(F203:M203)-O206</f>
        <v>18</v>
      </c>
      <c r="O206" t="str">
        <f>RIGHT(E203,3)</f>
        <v>368</v>
      </c>
    </row>
    <row r="207" spans="1:16" ht="15.75" customHeight="1" x14ac:dyDescent="0.35">
      <c r="B207" s="20" t="s">
        <v>251</v>
      </c>
      <c r="C207" s="27">
        <v>0.2</v>
      </c>
      <c r="D207" s="27">
        <v>0.5</v>
      </c>
      <c r="E207" s="27"/>
      <c r="F207" s="27"/>
      <c r="G207" s="27"/>
      <c r="H207" s="27"/>
      <c r="N207" t="str">
        <f xml:space="preserve">  N206 &amp; " degrees this time"</f>
        <v>18 degrees this time</v>
      </c>
    </row>
    <row r="208" spans="1:16" ht="15.75" customHeight="1" x14ac:dyDescent="0.35">
      <c r="B208" s="20" t="s">
        <v>252</v>
      </c>
      <c r="C208" s="27">
        <v>0.9</v>
      </c>
      <c r="D208" s="27">
        <v>0.8</v>
      </c>
      <c r="E208" s="27">
        <v>0.7</v>
      </c>
      <c r="F208" s="27">
        <v>0.5</v>
      </c>
      <c r="G208" s="27" t="s">
        <v>274</v>
      </c>
      <c r="H208" s="27" t="s">
        <v>275</v>
      </c>
    </row>
    <row r="209" spans="1:16" ht="15.75" customHeight="1" x14ac:dyDescent="0.35">
      <c r="B209" s="20"/>
      <c r="F209" s="1"/>
    </row>
    <row r="210" spans="1:16" ht="15.75" customHeight="1" x14ac:dyDescent="0.35">
      <c r="B210" s="20"/>
      <c r="G210" s="1" t="s">
        <v>323</v>
      </c>
      <c r="K210" s="32" t="s">
        <v>324</v>
      </c>
      <c r="L210" s="9"/>
      <c r="M210" s="9"/>
    </row>
    <row r="211" spans="1:16" ht="15.75" customHeight="1" x14ac:dyDescent="0.35">
      <c r="B211" s="20"/>
      <c r="G211" s="1"/>
      <c r="H211" s="1"/>
      <c r="K211" s="32" t="s">
        <v>325</v>
      </c>
      <c r="L211" s="9"/>
      <c r="M211" s="9"/>
    </row>
    <row r="212" spans="1:16" ht="15.75" customHeight="1" x14ac:dyDescent="0.35">
      <c r="B212" s="20"/>
      <c r="G212" s="1"/>
      <c r="H212" s="1"/>
      <c r="K212" s="9" t="s">
        <v>300</v>
      </c>
      <c r="L212" s="9"/>
      <c r="M212" s="9"/>
    </row>
    <row r="213" spans="1:16" ht="15.75" customHeight="1" x14ac:dyDescent="0.35">
      <c r="B213" s="9"/>
      <c r="C213" s="9"/>
      <c r="D213" s="9"/>
      <c r="E213" s="9"/>
      <c r="F213" s="12"/>
      <c r="G213" s="12"/>
      <c r="H213" s="12"/>
      <c r="I213" s="12"/>
      <c r="J213" s="12"/>
      <c r="K213" s="12"/>
      <c r="L213" s="1"/>
    </row>
    <row r="214" spans="1:16" ht="15.75" customHeight="1" x14ac:dyDescent="0.35">
      <c r="B214" s="13"/>
      <c r="C214" s="13"/>
      <c r="D214" s="15"/>
      <c r="F214" s="33" t="s">
        <v>326</v>
      </c>
      <c r="H214" s="14"/>
    </row>
    <row r="215" spans="1:16" x14ac:dyDescent="0.35">
      <c r="B215" s="13" t="s">
        <v>5</v>
      </c>
      <c r="C215" s="13" t="s">
        <v>1</v>
      </c>
      <c r="D215" s="15" t="str">
        <f>VLOOKUP(A216,Inventory!$A$4:$K$1139,7)</f>
        <v>Burman Coffee</v>
      </c>
      <c r="F215" s="13" t="s">
        <v>235</v>
      </c>
      <c r="G215" s="16"/>
      <c r="H215" s="14"/>
      <c r="L215" s="17"/>
      <c r="M215" s="17"/>
    </row>
    <row r="216" spans="1:16" x14ac:dyDescent="0.35">
      <c r="A216">
        <v>165</v>
      </c>
      <c r="B216" s="5">
        <v>45246</v>
      </c>
      <c r="C216" s="15" t="str">
        <f>VLOOKUP(A216,Inventory!$A$4:$K$1139,2)</f>
        <v>Ethiopian Guji Natural - Shakiso 2020</v>
      </c>
      <c r="F216" s="34" t="s">
        <v>279</v>
      </c>
      <c r="G216" s="2" t="s">
        <v>286</v>
      </c>
      <c r="L216" s="17"/>
      <c r="M216" s="17"/>
      <c r="P216" s="8"/>
    </row>
    <row r="217" spans="1:16" x14ac:dyDescent="0.35">
      <c r="F217" s="11"/>
      <c r="G217" s="11"/>
      <c r="H217" s="11"/>
      <c r="I217" s="11"/>
      <c r="J217" s="11"/>
      <c r="K217" s="11"/>
      <c r="L217" s="28"/>
      <c r="M217" s="36"/>
    </row>
    <row r="218" spans="1:16" x14ac:dyDescent="0.35">
      <c r="B218" s="20"/>
      <c r="C218" s="11" t="s">
        <v>240</v>
      </c>
      <c r="D218" s="11" t="s">
        <v>272</v>
      </c>
      <c r="E218" s="11">
        <v>374</v>
      </c>
      <c r="F218" s="11">
        <v>385</v>
      </c>
      <c r="G218" s="11">
        <v>395</v>
      </c>
      <c r="H218" s="11">
        <v>398</v>
      </c>
      <c r="I218" s="11"/>
      <c r="J218" s="11"/>
      <c r="K218" s="11"/>
    </row>
    <row r="219" spans="1:16" ht="15.75" customHeight="1" x14ac:dyDescent="0.35">
      <c r="B219" s="20" t="s">
        <v>242</v>
      </c>
      <c r="C219" s="30"/>
      <c r="D219" s="30"/>
      <c r="E219" s="23" t="s">
        <v>244</v>
      </c>
      <c r="F219" s="23" t="s">
        <v>245</v>
      </c>
      <c r="G219" s="23" t="s">
        <v>246</v>
      </c>
      <c r="H219" s="23" t="s">
        <v>273</v>
      </c>
      <c r="O219" s="4"/>
    </row>
    <row r="220" spans="1:16" ht="1" customHeight="1" x14ac:dyDescent="0.35">
      <c r="B220" s="24" t="s">
        <v>249</v>
      </c>
      <c r="C220" s="25"/>
      <c r="D220" s="25"/>
      <c r="E220" s="25"/>
      <c r="F220" s="25"/>
      <c r="G220" s="25"/>
      <c r="H220" s="23" t="s">
        <v>247</v>
      </c>
      <c r="O220" t="e">
        <f>(O218-3*O217)/O219</f>
        <v>#DIV/0!</v>
      </c>
    </row>
    <row r="221" spans="1:16" ht="15.75" customHeight="1" x14ac:dyDescent="0.35">
      <c r="B221" s="20" t="s">
        <v>250</v>
      </c>
      <c r="C221" s="26">
        <v>0.20486111111111113</v>
      </c>
      <c r="D221" s="26">
        <v>0.29166666666666669</v>
      </c>
      <c r="E221" s="26">
        <v>0.37152777777777773</v>
      </c>
      <c r="F221" s="26">
        <f>E221+'Lookup Tables'!$N$1</f>
        <v>0.39236111111111105</v>
      </c>
      <c r="G221" s="26">
        <f>F221+'Lookup Tables'!$N$1</f>
        <v>0.41319444444444436</v>
      </c>
      <c r="H221" s="26">
        <f>G221+'Lookup Tables'!$S$1</f>
        <v>0.42361111111111105</v>
      </c>
      <c r="N221">
        <f>MAX(F218:M218)-O221</f>
        <v>24</v>
      </c>
      <c r="O221" t="str">
        <f>RIGHT(E218,3)</f>
        <v>374</v>
      </c>
    </row>
    <row r="222" spans="1:16" ht="15.75" customHeight="1" x14ac:dyDescent="0.35">
      <c r="B222" s="20" t="s">
        <v>251</v>
      </c>
      <c r="C222" s="27">
        <v>0.2</v>
      </c>
      <c r="D222" s="27">
        <v>0.5</v>
      </c>
      <c r="E222" s="27"/>
      <c r="F222" s="27"/>
      <c r="G222" s="27"/>
      <c r="H222" s="25"/>
      <c r="N222" t="str">
        <f xml:space="preserve">  N221 &amp; " degrees this time"</f>
        <v>24 degrees this time</v>
      </c>
    </row>
    <row r="223" spans="1:16" ht="15.75" customHeight="1" x14ac:dyDescent="0.35">
      <c r="B223" s="20" t="s">
        <v>252</v>
      </c>
      <c r="C223" s="27">
        <v>0.9</v>
      </c>
      <c r="D223" s="27">
        <v>0.8</v>
      </c>
      <c r="E223" s="27"/>
      <c r="F223" s="27">
        <v>0.5</v>
      </c>
      <c r="G223" s="27"/>
      <c r="H223" s="27" t="s">
        <v>275</v>
      </c>
    </row>
    <row r="224" spans="1:16" ht="15.75" customHeight="1" x14ac:dyDescent="0.35">
      <c r="B224" s="20"/>
      <c r="C224" s="30"/>
      <c r="D224" s="11"/>
      <c r="E224" s="1"/>
      <c r="F224" s="11"/>
      <c r="G224" s="11"/>
      <c r="H224" s="11"/>
      <c r="J224" s="37"/>
      <c r="K224" s="32" t="s">
        <v>327</v>
      </c>
      <c r="L224" s="9"/>
      <c r="M224" s="9"/>
    </row>
    <row r="225" spans="1:16" ht="15.75" customHeight="1" x14ac:dyDescent="0.35">
      <c r="B225" s="38"/>
      <c r="D225" s="11"/>
      <c r="E225" s="11"/>
      <c r="F225" s="11"/>
      <c r="G225" s="1" t="s">
        <v>281</v>
      </c>
      <c r="K225" s="32" t="s">
        <v>328</v>
      </c>
      <c r="L225" s="9"/>
      <c r="M225" s="9"/>
    </row>
    <row r="226" spans="1:16" ht="15.75" customHeight="1" x14ac:dyDescent="0.35">
      <c r="B226" s="20"/>
      <c r="K226" s="32"/>
      <c r="L226" s="9"/>
      <c r="M226" s="9"/>
    </row>
    <row r="227" spans="1:16" ht="15.75" customHeight="1" x14ac:dyDescent="0.35">
      <c r="B227" s="20"/>
      <c r="G227" s="1"/>
      <c r="H227" s="1"/>
      <c r="K227" s="9" t="s">
        <v>254</v>
      </c>
      <c r="L227" s="9"/>
      <c r="M227" s="9"/>
    </row>
    <row r="228" spans="1:16" ht="15.75" customHeight="1" x14ac:dyDescent="0.35">
      <c r="B228" s="9"/>
      <c r="C228" s="9"/>
      <c r="D228" s="9"/>
      <c r="E228" s="9"/>
      <c r="F228" s="12"/>
      <c r="G228" s="12"/>
      <c r="H228" s="12"/>
      <c r="I228" s="12"/>
      <c r="J228" s="12"/>
      <c r="K228" s="12"/>
      <c r="L228" s="1"/>
    </row>
    <row r="229" spans="1:16" ht="15.75" customHeight="1" x14ac:dyDescent="0.35">
      <c r="B229" s="13"/>
      <c r="C229" s="13"/>
      <c r="D229" s="13"/>
      <c r="E229" s="13"/>
      <c r="F229" s="13"/>
      <c r="G229" s="13"/>
      <c r="I229" s="14"/>
    </row>
    <row r="230" spans="1:16" x14ac:dyDescent="0.35">
      <c r="B230" s="13" t="s">
        <v>5</v>
      </c>
      <c r="C230" s="13" t="s">
        <v>1</v>
      </c>
      <c r="D230" s="15" t="str">
        <f>VLOOKUP(A231,Inventory!$A$4:$K$1139,7)</f>
        <v xml:space="preserve">Sweet Marias                       </v>
      </c>
      <c r="F230" s="13" t="s">
        <v>235</v>
      </c>
      <c r="G230" s="16"/>
      <c r="H230" s="14" t="s">
        <v>236</v>
      </c>
      <c r="L230" s="17"/>
      <c r="M230" s="17"/>
    </row>
    <row r="231" spans="1:16" x14ac:dyDescent="0.35">
      <c r="A231">
        <v>173</v>
      </c>
      <c r="B231" s="5">
        <v>45241</v>
      </c>
      <c r="C231" s="15" t="str">
        <f>VLOOKUP(A231,Inventory!$A$4:$K$1139,2)</f>
        <v>Costa Rica La Pradera SWP Decaf 2022</v>
      </c>
      <c r="F231" s="18" t="s">
        <v>237</v>
      </c>
      <c r="G231" s="2" t="s">
        <v>238</v>
      </c>
      <c r="L231" s="17"/>
      <c r="M231" s="17"/>
      <c r="P231" s="8"/>
    </row>
    <row r="232" spans="1:16" x14ac:dyDescent="0.35">
      <c r="I232" s="2" t="s">
        <v>239</v>
      </c>
      <c r="J232" s="1" t="s">
        <v>16</v>
      </c>
      <c r="L232" s="19"/>
      <c r="M232" s="19"/>
    </row>
    <row r="233" spans="1:16" x14ac:dyDescent="0.35">
      <c r="C233" s="11" t="s">
        <v>240</v>
      </c>
      <c r="D233" s="11" t="s">
        <v>241</v>
      </c>
      <c r="E233" s="11">
        <v>373</v>
      </c>
      <c r="F233" s="11">
        <v>379</v>
      </c>
      <c r="G233" s="11">
        <v>386</v>
      </c>
      <c r="H233" s="11">
        <v>394</v>
      </c>
      <c r="I233" s="11">
        <v>398</v>
      </c>
      <c r="J233" s="11"/>
      <c r="K233" s="11"/>
      <c r="L233" s="11"/>
    </row>
    <row r="234" spans="1:16" ht="15.75" customHeight="1" x14ac:dyDescent="0.35">
      <c r="B234" s="20" t="s">
        <v>242</v>
      </c>
      <c r="C234" s="21"/>
      <c r="D234" s="22" t="s">
        <v>243</v>
      </c>
      <c r="E234" s="23" t="s">
        <v>244</v>
      </c>
      <c r="F234" s="23" t="s">
        <v>245</v>
      </c>
      <c r="G234" s="23" t="s">
        <v>246</v>
      </c>
      <c r="H234" s="23" t="s">
        <v>247</v>
      </c>
      <c r="I234" s="23" t="s">
        <v>259</v>
      </c>
      <c r="O234" s="4"/>
    </row>
    <row r="235" spans="1:16" ht="1" customHeight="1" x14ac:dyDescent="0.35">
      <c r="B235" s="24" t="s">
        <v>249</v>
      </c>
      <c r="C235" s="25"/>
      <c r="D235" s="25"/>
      <c r="E235" s="25"/>
      <c r="F235" s="25">
        <v>384</v>
      </c>
      <c r="G235" s="25">
        <v>388</v>
      </c>
      <c r="H235" s="25">
        <v>392</v>
      </c>
      <c r="I235" s="25">
        <v>392</v>
      </c>
      <c r="O235" t="e">
        <f>(O233-3*O232)/O234</f>
        <v>#DIV/0!</v>
      </c>
    </row>
    <row r="236" spans="1:16" ht="15.75" customHeight="1" x14ac:dyDescent="0.35">
      <c r="B236" s="20" t="s">
        <v>250</v>
      </c>
      <c r="C236" s="26">
        <v>0.25694444444444448</v>
      </c>
      <c r="D236" s="26">
        <v>0.33680555555555558</v>
      </c>
      <c r="E236" s="26">
        <v>0.4513888888888889</v>
      </c>
      <c r="F236" s="26">
        <f>E236+'Lookup Tables'!$N$1</f>
        <v>0.47222222222222221</v>
      </c>
      <c r="G236" s="26">
        <f>F236+'Lookup Tables'!$N$1</f>
        <v>0.49305555555555552</v>
      </c>
      <c r="H236" s="26">
        <f>G236+'Lookup Tables'!$N$1</f>
        <v>0.51388888888888884</v>
      </c>
      <c r="I236" s="26">
        <f>H236+'Lookup Tables'!$N$1</f>
        <v>0.53472222222222221</v>
      </c>
      <c r="N236">
        <f>MAX(F233:M233)-O236</f>
        <v>25</v>
      </c>
      <c r="O236" t="str">
        <f>RIGHT(E233,3)</f>
        <v>373</v>
      </c>
    </row>
    <row r="237" spans="1:16" ht="15.75" customHeight="1" x14ac:dyDescent="0.35">
      <c r="B237" s="20" t="s">
        <v>251</v>
      </c>
      <c r="C237" s="27">
        <v>0.2</v>
      </c>
      <c r="D237" s="27">
        <v>0.5</v>
      </c>
      <c r="E237" s="27"/>
      <c r="F237" s="27"/>
      <c r="G237" s="27"/>
      <c r="H237" s="27"/>
      <c r="I237" s="27"/>
      <c r="N237" t="str">
        <f xml:space="preserve">  N236 &amp; " degrees this time"</f>
        <v>25 degrees this time</v>
      </c>
    </row>
    <row r="238" spans="1:16" ht="15.75" customHeight="1" x14ac:dyDescent="0.35">
      <c r="B238" s="20" t="s">
        <v>252</v>
      </c>
      <c r="C238" s="27">
        <v>0.9</v>
      </c>
      <c r="D238" s="27">
        <v>0.8</v>
      </c>
      <c r="E238" s="27">
        <v>0.7</v>
      </c>
      <c r="F238" s="27"/>
      <c r="G238" s="27">
        <v>0.5</v>
      </c>
      <c r="H238" s="27"/>
      <c r="I238" s="27"/>
    </row>
    <row r="239" spans="1:16" ht="15.75" customHeight="1" x14ac:dyDescent="0.35">
      <c r="B239" s="20"/>
      <c r="D239" s="11"/>
      <c r="E239" s="11"/>
      <c r="F239" s="28"/>
      <c r="H239" s="1"/>
      <c r="I239" s="1"/>
    </row>
    <row r="240" spans="1:16" ht="15.75" customHeight="1" x14ac:dyDescent="0.35">
      <c r="C240" s="1"/>
      <c r="G240" s="1" t="s">
        <v>253</v>
      </c>
      <c r="K240" s="12"/>
      <c r="L240" s="9"/>
      <c r="M240" s="9"/>
    </row>
    <row r="241" spans="1:16" ht="15.75" customHeight="1" x14ac:dyDescent="0.35">
      <c r="B241" s="20"/>
      <c r="G241" s="1"/>
      <c r="H241" s="1"/>
      <c r="K241" s="9"/>
      <c r="L241" s="9"/>
      <c r="M241" s="9"/>
    </row>
    <row r="242" spans="1:16" ht="15.75" customHeight="1" x14ac:dyDescent="0.35">
      <c r="B242" s="20"/>
      <c r="G242" s="1"/>
      <c r="H242" s="1"/>
      <c r="K242" s="9" t="s">
        <v>254</v>
      </c>
      <c r="L242" s="9"/>
      <c r="M242" s="9"/>
    </row>
    <row r="243" spans="1:16" ht="15.75" customHeight="1" x14ac:dyDescent="0.35">
      <c r="B243" s="9"/>
      <c r="C243" s="9"/>
      <c r="D243" s="9"/>
      <c r="E243" s="9"/>
      <c r="F243" s="12"/>
      <c r="G243" s="12"/>
      <c r="H243" s="12"/>
      <c r="I243" s="12"/>
      <c r="J243" s="12"/>
      <c r="K243" s="12"/>
      <c r="L243" s="1"/>
    </row>
    <row r="244" spans="1:16" ht="15.75" customHeight="1" x14ac:dyDescent="0.35">
      <c r="B244" s="13"/>
      <c r="C244" s="13"/>
      <c r="D244" s="15"/>
      <c r="F244" s="13"/>
      <c r="H244" s="14" t="s">
        <v>255</v>
      </c>
      <c r="I244" s="14"/>
    </row>
    <row r="245" spans="1:16" x14ac:dyDescent="0.35">
      <c r="B245" s="13" t="s">
        <v>5</v>
      </c>
      <c r="C245" s="13" t="s">
        <v>1</v>
      </c>
      <c r="D245" s="15" t="str">
        <f>VLOOKUP(A246,Inventory!$A$4:$K$1139,7)</f>
        <v xml:space="preserve">Sweet Marias                       </v>
      </c>
      <c r="F245" s="13" t="s">
        <v>235</v>
      </c>
      <c r="G245" s="16"/>
      <c r="H245" s="14" t="s">
        <v>256</v>
      </c>
    </row>
    <row r="246" spans="1:16" x14ac:dyDescent="0.35">
      <c r="A246">
        <v>173</v>
      </c>
      <c r="B246" s="5">
        <v>45241</v>
      </c>
      <c r="C246" s="15" t="str">
        <f>VLOOKUP(A246,Inventory!$A$4:$K$1139,2)</f>
        <v>Costa Rica La Pradera SWP Decaf 2022</v>
      </c>
      <c r="F246" s="18" t="s">
        <v>257</v>
      </c>
      <c r="G246" s="2" t="s">
        <v>238</v>
      </c>
      <c r="P246" s="8"/>
    </row>
    <row r="247" spans="1:16" x14ac:dyDescent="0.35">
      <c r="H247" s="2" t="s">
        <v>258</v>
      </c>
    </row>
    <row r="248" spans="1:16" x14ac:dyDescent="0.35">
      <c r="C248" s="11" t="s">
        <v>240</v>
      </c>
      <c r="D248" s="11" t="s">
        <v>241</v>
      </c>
      <c r="E248" s="11">
        <v>368</v>
      </c>
      <c r="F248" s="11">
        <v>373</v>
      </c>
      <c r="G248" s="11">
        <v>379</v>
      </c>
      <c r="H248" s="11">
        <v>386</v>
      </c>
      <c r="I248" s="11">
        <v>393</v>
      </c>
      <c r="J248" s="11"/>
      <c r="K248" s="11"/>
      <c r="L248" s="11"/>
    </row>
    <row r="249" spans="1:16" ht="15.75" customHeight="1" x14ac:dyDescent="0.35">
      <c r="B249" s="20" t="s">
        <v>242</v>
      </c>
      <c r="C249" s="21"/>
      <c r="D249" s="22" t="s">
        <v>243</v>
      </c>
      <c r="E249" s="23" t="s">
        <v>244</v>
      </c>
      <c r="F249" s="23" t="s">
        <v>245</v>
      </c>
      <c r="G249" s="23" t="s">
        <v>246</v>
      </c>
      <c r="H249" s="23" t="s">
        <v>247</v>
      </c>
      <c r="I249" s="23" t="s">
        <v>259</v>
      </c>
      <c r="J249" s="23" t="s">
        <v>260</v>
      </c>
      <c r="K249" s="23" t="s">
        <v>261</v>
      </c>
      <c r="O249" s="4"/>
    </row>
    <row r="250" spans="1:16" ht="1" customHeight="1" x14ac:dyDescent="0.35">
      <c r="B250" s="24" t="s">
        <v>249</v>
      </c>
      <c r="C250" s="25">
        <v>320</v>
      </c>
      <c r="D250" s="25">
        <v>350</v>
      </c>
      <c r="E250" s="25">
        <v>377</v>
      </c>
      <c r="F250" s="25">
        <v>384</v>
      </c>
      <c r="G250" s="25">
        <v>388</v>
      </c>
      <c r="H250" s="25">
        <v>392</v>
      </c>
      <c r="I250" s="25">
        <v>395</v>
      </c>
      <c r="J250" s="25">
        <v>415</v>
      </c>
      <c r="K250" s="25">
        <v>415</v>
      </c>
      <c r="O250" t="e">
        <f>(O248-3*O247)/O249</f>
        <v>#DIV/0!</v>
      </c>
    </row>
    <row r="251" spans="1:16" ht="15.75" customHeight="1" x14ac:dyDescent="0.35">
      <c r="B251" s="20" t="s">
        <v>250</v>
      </c>
      <c r="C251" s="26">
        <v>0.25</v>
      </c>
      <c r="D251" s="26">
        <v>0.33333333333333331</v>
      </c>
      <c r="E251" s="26">
        <v>0.45833333333333331</v>
      </c>
      <c r="F251" s="26">
        <f>E251+'Lookup Tables'!$N$1</f>
        <v>0.47916666666666663</v>
      </c>
      <c r="G251" s="26">
        <f>F251+'Lookup Tables'!$N$1</f>
        <v>0.49999999999999994</v>
      </c>
      <c r="H251" s="26">
        <f>G251+'Lookup Tables'!$N$1</f>
        <v>0.52083333333333326</v>
      </c>
      <c r="I251" s="26">
        <f>H251+'Lookup Tables'!$N$1</f>
        <v>0.54166666666666663</v>
      </c>
      <c r="J251" s="26">
        <f>I251+'Lookup Tables'!$M$1</f>
        <v>0.55208333333333326</v>
      </c>
      <c r="K251" s="26">
        <f>J251+'Lookup Tables'!$M$1</f>
        <v>0.56249999999999989</v>
      </c>
      <c r="N251">
        <f>MAX(F248:M248)-O251</f>
        <v>25</v>
      </c>
      <c r="O251" t="str">
        <f>RIGHT(E248,3)</f>
        <v>368</v>
      </c>
    </row>
    <row r="252" spans="1:16" ht="15.75" customHeight="1" x14ac:dyDescent="0.35">
      <c r="B252" s="20" t="s">
        <v>251</v>
      </c>
      <c r="C252" s="27">
        <v>0.2</v>
      </c>
      <c r="D252" s="27">
        <v>0.5</v>
      </c>
      <c r="E252" s="27"/>
      <c r="F252" s="27"/>
      <c r="G252" s="27"/>
      <c r="H252" s="27"/>
      <c r="I252" s="27"/>
      <c r="J252" s="27"/>
      <c r="K252" s="25"/>
      <c r="N252" t="str">
        <f xml:space="preserve">  N251 &amp; " degrees this time"</f>
        <v>25 degrees this time</v>
      </c>
    </row>
    <row r="253" spans="1:16" ht="15.75" customHeight="1" x14ac:dyDescent="0.35">
      <c r="B253" s="20" t="s">
        <v>252</v>
      </c>
      <c r="C253" s="27">
        <v>0.9</v>
      </c>
      <c r="D253" s="27">
        <v>0.7</v>
      </c>
      <c r="E253" s="27">
        <v>0.6</v>
      </c>
      <c r="F253" s="27"/>
      <c r="G253" s="27"/>
      <c r="H253" s="27"/>
      <c r="I253" s="27"/>
      <c r="J253" s="27"/>
      <c r="K253" s="27"/>
    </row>
    <row r="254" spans="1:16" ht="15.75" customHeight="1" x14ac:dyDescent="0.35">
      <c r="B254" s="20"/>
      <c r="D254" s="11"/>
      <c r="E254" s="11"/>
      <c r="F254" s="28"/>
      <c r="H254" s="1"/>
    </row>
    <row r="255" spans="1:16" ht="15.75" customHeight="1" x14ac:dyDescent="0.35">
      <c r="B255" s="1" t="s">
        <v>262</v>
      </c>
      <c r="F255" t="s">
        <v>263</v>
      </c>
      <c r="G255" s="1"/>
      <c r="K255" s="12"/>
      <c r="L255" s="9"/>
      <c r="M255" s="9"/>
    </row>
    <row r="256" spans="1:16" ht="15.75" customHeight="1" x14ac:dyDescent="0.35">
      <c r="B256" s="20" t="s">
        <v>264</v>
      </c>
      <c r="D256" s="29"/>
      <c r="F256" t="s">
        <v>265</v>
      </c>
      <c r="G256" s="1"/>
      <c r="H256" s="1"/>
      <c r="K256" s="9" t="s">
        <v>266</v>
      </c>
      <c r="L256" s="9"/>
      <c r="M256" s="9"/>
    </row>
    <row r="257" spans="1:16" ht="15.75" customHeight="1" x14ac:dyDescent="0.35">
      <c r="B257" s="20" t="s">
        <v>267</v>
      </c>
      <c r="F257" t="s">
        <v>268</v>
      </c>
      <c r="G257" s="1"/>
      <c r="H257" s="1"/>
      <c r="K257" s="9" t="s">
        <v>254</v>
      </c>
      <c r="L257" s="9"/>
      <c r="M257" s="9"/>
    </row>
    <row r="258" spans="1:16" ht="15.75" customHeight="1" x14ac:dyDescent="0.35">
      <c r="B258" s="9"/>
      <c r="C258" s="9"/>
      <c r="D258" s="9"/>
      <c r="E258" s="9"/>
      <c r="F258" s="12"/>
      <c r="G258" s="12"/>
      <c r="H258" s="12"/>
      <c r="I258" s="12"/>
      <c r="J258" s="12"/>
      <c r="K258" s="12"/>
      <c r="L258" s="1"/>
    </row>
    <row r="259" spans="1:16" ht="15.75" customHeight="1" x14ac:dyDescent="0.35">
      <c r="B259" s="13"/>
      <c r="C259" s="13"/>
      <c r="D259" s="13"/>
      <c r="E259" s="13"/>
      <c r="F259" s="13"/>
      <c r="G259" s="13"/>
      <c r="I259" s="14"/>
    </row>
    <row r="260" spans="1:16" x14ac:dyDescent="0.35">
      <c r="B260" s="13" t="s">
        <v>5</v>
      </c>
      <c r="C260" s="13" t="s">
        <v>1</v>
      </c>
      <c r="D260" s="15" t="str">
        <f>VLOOKUP(A261,Inventory!$A$4:$K$1139,7)</f>
        <v xml:space="preserve">Sweet Marias                       </v>
      </c>
      <c r="F260" s="13" t="s">
        <v>235</v>
      </c>
      <c r="G260" s="16"/>
      <c r="H260" s="14" t="s">
        <v>236</v>
      </c>
      <c r="L260" s="17"/>
      <c r="M260" s="17"/>
    </row>
    <row r="261" spans="1:16" x14ac:dyDescent="0.35">
      <c r="A261">
        <v>174</v>
      </c>
      <c r="B261" s="5">
        <v>45241</v>
      </c>
      <c r="C261" s="15" t="str">
        <f>VLOOKUP(A261,Inventory!$A$4:$K$1139,2)</f>
        <v>Ethiopia Organic Yebuna Terara SWP Decaf 2022</v>
      </c>
      <c r="F261" s="18" t="s">
        <v>237</v>
      </c>
      <c r="G261" s="2" t="s">
        <v>238</v>
      </c>
      <c r="L261" s="17"/>
      <c r="M261" s="17"/>
      <c r="P261" s="8"/>
    </row>
    <row r="262" spans="1:16" x14ac:dyDescent="0.35">
      <c r="I262" s="2" t="s">
        <v>239</v>
      </c>
      <c r="J262" s="1" t="s">
        <v>16</v>
      </c>
      <c r="L262" s="19"/>
      <c r="M262" s="19"/>
    </row>
    <row r="263" spans="1:16" x14ac:dyDescent="0.35">
      <c r="C263" s="11" t="s">
        <v>240</v>
      </c>
      <c r="D263" s="11" t="s">
        <v>241</v>
      </c>
      <c r="E263" s="11">
        <v>374</v>
      </c>
      <c r="F263" s="11">
        <v>381</v>
      </c>
      <c r="G263" s="11">
        <v>387</v>
      </c>
      <c r="H263" s="11">
        <v>395</v>
      </c>
      <c r="I263" s="11"/>
      <c r="J263" s="11"/>
      <c r="K263" s="11"/>
      <c r="L263" s="11"/>
    </row>
    <row r="264" spans="1:16" ht="15.75" customHeight="1" x14ac:dyDescent="0.35">
      <c r="B264" s="20" t="s">
        <v>242</v>
      </c>
      <c r="C264" s="30"/>
      <c r="D264" s="30"/>
      <c r="E264" s="23" t="s">
        <v>244</v>
      </c>
      <c r="F264" s="23" t="s">
        <v>245</v>
      </c>
      <c r="G264" s="23" t="s">
        <v>246</v>
      </c>
      <c r="H264" s="23" t="s">
        <v>247</v>
      </c>
      <c r="I264" s="23" t="s">
        <v>248</v>
      </c>
      <c r="O264" s="4"/>
    </row>
    <row r="265" spans="1:16" ht="1" customHeight="1" x14ac:dyDescent="0.35">
      <c r="B265" s="24" t="s">
        <v>249</v>
      </c>
      <c r="C265" s="25">
        <v>320</v>
      </c>
      <c r="D265" s="25">
        <v>350</v>
      </c>
      <c r="E265" s="25">
        <v>377</v>
      </c>
      <c r="F265" s="25">
        <v>384</v>
      </c>
      <c r="G265" s="25">
        <v>388</v>
      </c>
      <c r="H265" s="25">
        <v>392</v>
      </c>
      <c r="I265" s="25">
        <v>392</v>
      </c>
      <c r="O265" t="e">
        <f>(O263-3*O262)/O264</f>
        <v>#DIV/0!</v>
      </c>
    </row>
    <row r="266" spans="1:16" ht="15.75" customHeight="1" x14ac:dyDescent="0.35">
      <c r="B266" s="20" t="s">
        <v>250</v>
      </c>
      <c r="C266" s="26">
        <v>0.25347222222222221</v>
      </c>
      <c r="D266" s="26">
        <v>0.33680555555555558</v>
      </c>
      <c r="E266" s="26">
        <v>0.4513888888888889</v>
      </c>
      <c r="F266" s="26">
        <f>E266+'Lookup Tables'!$N$1</f>
        <v>0.47222222222222221</v>
      </c>
      <c r="G266" s="26">
        <f>F266+'Lookup Tables'!$N$1</f>
        <v>0.49305555555555552</v>
      </c>
      <c r="H266" s="26">
        <f>G266+'Lookup Tables'!$N$1</f>
        <v>0.51388888888888884</v>
      </c>
      <c r="I266" s="26">
        <f>H266+'Lookup Tables'!$M$1</f>
        <v>0.52430555555555547</v>
      </c>
      <c r="N266">
        <f>MAX(F263:M263)-O266</f>
        <v>21</v>
      </c>
      <c r="O266" t="str">
        <f>RIGHT(E263,3)</f>
        <v>374</v>
      </c>
    </row>
    <row r="267" spans="1:16" ht="15.75" customHeight="1" x14ac:dyDescent="0.35">
      <c r="B267" s="20" t="s">
        <v>251</v>
      </c>
      <c r="C267" s="27">
        <v>0.2</v>
      </c>
      <c r="D267" s="27">
        <v>0.5</v>
      </c>
      <c r="E267" s="27"/>
      <c r="F267" s="27"/>
      <c r="G267" s="27"/>
      <c r="H267" s="27"/>
      <c r="I267" s="27"/>
      <c r="N267" t="str">
        <f xml:space="preserve">  N266 &amp; " degrees this time"</f>
        <v>21 degrees this time</v>
      </c>
    </row>
    <row r="268" spans="1:16" ht="15.75" customHeight="1" x14ac:dyDescent="0.35">
      <c r="B268" s="20" t="s">
        <v>252</v>
      </c>
      <c r="C268" s="27">
        <v>0.9</v>
      </c>
      <c r="D268" s="27">
        <v>0.8</v>
      </c>
      <c r="E268" s="27">
        <v>0.7</v>
      </c>
      <c r="F268" s="27"/>
      <c r="G268" s="27">
        <v>0.5</v>
      </c>
      <c r="H268" s="27"/>
      <c r="I268" s="27"/>
    </row>
    <row r="269" spans="1:16" ht="15.75" customHeight="1" x14ac:dyDescent="0.35">
      <c r="B269" s="20"/>
      <c r="D269" s="11"/>
      <c r="E269" s="11"/>
      <c r="F269" s="28"/>
      <c r="H269" s="1"/>
      <c r="I269" s="1"/>
    </row>
    <row r="270" spans="1:16" ht="15.75" customHeight="1" x14ac:dyDescent="0.35">
      <c r="C270" s="1"/>
      <c r="G270" s="1" t="s">
        <v>253</v>
      </c>
      <c r="K270" s="12"/>
      <c r="L270" s="9"/>
      <c r="M270" s="9"/>
    </row>
    <row r="271" spans="1:16" ht="15.75" customHeight="1" x14ac:dyDescent="0.35">
      <c r="B271" s="20"/>
      <c r="G271" s="1"/>
      <c r="H271" s="1"/>
      <c r="K271" s="9"/>
      <c r="L271" s="9"/>
      <c r="M271" s="9"/>
    </row>
    <row r="272" spans="1:16" ht="15.75" customHeight="1" x14ac:dyDescent="0.35">
      <c r="B272" s="20"/>
      <c r="G272" s="1"/>
      <c r="H272" s="1"/>
      <c r="K272" s="9" t="s">
        <v>254</v>
      </c>
      <c r="L272" s="9"/>
      <c r="M272" s="9"/>
    </row>
    <row r="273" spans="1:16" ht="15.75" customHeight="1" x14ac:dyDescent="0.35">
      <c r="B273" s="9"/>
      <c r="C273" s="9"/>
      <c r="D273" s="9"/>
      <c r="E273" s="9"/>
      <c r="F273" s="12"/>
      <c r="G273" s="12"/>
      <c r="H273" s="12"/>
      <c r="I273" s="12"/>
      <c r="J273" s="12"/>
      <c r="K273" s="12"/>
      <c r="L273" s="1"/>
    </row>
    <row r="274" spans="1:16" ht="15.75" customHeight="1" x14ac:dyDescent="0.35">
      <c r="B274" s="13"/>
      <c r="C274" s="13"/>
      <c r="D274" s="15"/>
      <c r="F274" s="13"/>
      <c r="H274" s="14" t="s">
        <v>255</v>
      </c>
      <c r="I274" s="14"/>
    </row>
    <row r="275" spans="1:16" x14ac:dyDescent="0.35">
      <c r="B275" s="13" t="s">
        <v>5</v>
      </c>
      <c r="C275" s="13" t="s">
        <v>1</v>
      </c>
      <c r="D275" s="15" t="str">
        <f>VLOOKUP(A276,Inventory!$A$4:$K$1139,7)</f>
        <v xml:space="preserve">Sweet Marias                       </v>
      </c>
      <c r="F275" s="13" t="s">
        <v>235</v>
      </c>
      <c r="G275" s="16"/>
      <c r="H275" s="14" t="s">
        <v>256</v>
      </c>
    </row>
    <row r="276" spans="1:16" x14ac:dyDescent="0.35">
      <c r="A276">
        <v>174</v>
      </c>
      <c r="B276" s="5">
        <v>45241</v>
      </c>
      <c r="C276" s="15" t="str">
        <f>VLOOKUP(A276,Inventory!$A$4:$K$1139,2)</f>
        <v>Ethiopia Organic Yebuna Terara SWP Decaf 2022</v>
      </c>
      <c r="F276" s="18" t="s">
        <v>257</v>
      </c>
      <c r="G276" s="2" t="s">
        <v>238</v>
      </c>
      <c r="P276" s="8"/>
    </row>
    <row r="277" spans="1:16" x14ac:dyDescent="0.35">
      <c r="H277" s="2" t="s">
        <v>258</v>
      </c>
    </row>
    <row r="278" spans="1:16" x14ac:dyDescent="0.35">
      <c r="C278" s="11" t="s">
        <v>240</v>
      </c>
      <c r="D278" s="11" t="s">
        <v>241</v>
      </c>
      <c r="E278" s="11">
        <v>369</v>
      </c>
      <c r="F278" s="28" t="s">
        <v>329</v>
      </c>
      <c r="G278" s="11"/>
      <c r="H278" s="11"/>
      <c r="I278" s="11"/>
      <c r="J278" s="11"/>
      <c r="K278" s="11"/>
      <c r="L278" s="11"/>
    </row>
    <row r="279" spans="1:16" ht="15.75" customHeight="1" x14ac:dyDescent="0.35">
      <c r="B279" s="20" t="s">
        <v>242</v>
      </c>
      <c r="C279" s="30"/>
      <c r="D279" s="30"/>
      <c r="E279" s="23" t="s">
        <v>244</v>
      </c>
      <c r="F279" s="23" t="s">
        <v>245</v>
      </c>
      <c r="G279" s="23" t="s">
        <v>246</v>
      </c>
      <c r="H279" s="23" t="s">
        <v>247</v>
      </c>
      <c r="I279" s="23" t="s">
        <v>259</v>
      </c>
      <c r="J279" s="23" t="s">
        <v>260</v>
      </c>
      <c r="K279" s="23" t="s">
        <v>261</v>
      </c>
      <c r="O279" s="4"/>
    </row>
    <row r="280" spans="1:16" ht="1" customHeight="1" x14ac:dyDescent="0.35">
      <c r="B280" s="24" t="s">
        <v>249</v>
      </c>
      <c r="C280" s="25">
        <v>320</v>
      </c>
      <c r="D280" s="25">
        <v>350</v>
      </c>
      <c r="E280" s="25">
        <v>377</v>
      </c>
      <c r="F280" s="25">
        <v>384</v>
      </c>
      <c r="G280" s="25">
        <v>388</v>
      </c>
      <c r="H280" s="25">
        <v>392</v>
      </c>
      <c r="I280" s="25">
        <v>395</v>
      </c>
      <c r="J280" s="25">
        <v>415</v>
      </c>
      <c r="K280" s="25">
        <v>415</v>
      </c>
      <c r="O280" t="e">
        <f>(O278-3*O277)/O279</f>
        <v>#DIV/0!</v>
      </c>
    </row>
    <row r="281" spans="1:16" ht="15.75" customHeight="1" x14ac:dyDescent="0.35">
      <c r="B281" s="20" t="s">
        <v>250</v>
      </c>
      <c r="C281" s="26">
        <v>0.25</v>
      </c>
      <c r="D281" s="26">
        <v>0.33680555555555558</v>
      </c>
      <c r="E281" s="26">
        <v>0.46875</v>
      </c>
      <c r="F281" s="26">
        <f>E281+'Lookup Tables'!$N$1</f>
        <v>0.48958333333333331</v>
      </c>
      <c r="G281" s="26">
        <f>F281+'Lookup Tables'!$N$1</f>
        <v>0.51041666666666663</v>
      </c>
      <c r="H281" s="26">
        <f>G281+'Lookup Tables'!$N$1</f>
        <v>0.53125</v>
      </c>
      <c r="I281" s="26">
        <f>H281+'Lookup Tables'!$N$1</f>
        <v>0.55208333333333337</v>
      </c>
      <c r="J281" s="26">
        <f>I281+'Lookup Tables'!$M$1</f>
        <v>0.5625</v>
      </c>
      <c r="K281" s="26">
        <f>J281+'Lookup Tables'!$M$1</f>
        <v>0.57291666666666663</v>
      </c>
      <c r="N281">
        <f>MAX(F278:M278)-O281</f>
        <v>-369</v>
      </c>
      <c r="O281" t="str">
        <f>RIGHT(E278,3)</f>
        <v>369</v>
      </c>
    </row>
    <row r="282" spans="1:16" ht="15.75" customHeight="1" x14ac:dyDescent="0.35">
      <c r="B282" s="20" t="s">
        <v>251</v>
      </c>
      <c r="C282" s="27">
        <v>0.2</v>
      </c>
      <c r="D282" s="27">
        <v>0.5</v>
      </c>
      <c r="E282" s="27"/>
      <c r="F282" s="27"/>
      <c r="G282" s="27"/>
      <c r="H282" s="27"/>
      <c r="I282" s="27"/>
      <c r="J282" s="27"/>
      <c r="K282" s="25"/>
      <c r="N282" t="str">
        <f xml:space="preserve">  N281 &amp; " degrees this time"</f>
        <v>-369 degrees this time</v>
      </c>
    </row>
    <row r="283" spans="1:16" ht="15.75" customHeight="1" x14ac:dyDescent="0.35">
      <c r="B283" s="20" t="s">
        <v>252</v>
      </c>
      <c r="C283" s="27">
        <v>0.9</v>
      </c>
      <c r="D283" s="27">
        <v>0.7</v>
      </c>
      <c r="E283" s="27">
        <v>0.6</v>
      </c>
      <c r="F283" s="27"/>
      <c r="G283" s="27"/>
      <c r="H283" s="27"/>
      <c r="I283" s="27"/>
      <c r="J283" s="27"/>
      <c r="K283" s="27"/>
    </row>
    <row r="284" spans="1:16" ht="15.75" customHeight="1" x14ac:dyDescent="0.35">
      <c r="B284" s="20"/>
      <c r="D284" s="11"/>
      <c r="E284" s="11"/>
      <c r="F284" s="28"/>
      <c r="H284" s="1"/>
    </row>
    <row r="285" spans="1:16" ht="15.75" customHeight="1" x14ac:dyDescent="0.35">
      <c r="B285" s="1" t="s">
        <v>262</v>
      </c>
      <c r="F285" t="s">
        <v>263</v>
      </c>
      <c r="G285" s="1"/>
      <c r="K285" s="12"/>
      <c r="L285" s="9"/>
      <c r="M285" s="9"/>
    </row>
    <row r="286" spans="1:16" ht="15.75" customHeight="1" x14ac:dyDescent="0.35">
      <c r="B286" s="20" t="s">
        <v>264</v>
      </c>
      <c r="D286" s="29"/>
      <c r="F286" t="s">
        <v>265</v>
      </c>
      <c r="G286" s="1"/>
      <c r="H286" s="1"/>
      <c r="K286" s="9" t="s">
        <v>266</v>
      </c>
      <c r="L286" s="9"/>
      <c r="M286" s="9"/>
    </row>
    <row r="287" spans="1:16" ht="15.75" customHeight="1" x14ac:dyDescent="0.35">
      <c r="B287" s="20" t="s">
        <v>267</v>
      </c>
      <c r="F287" t="s">
        <v>268</v>
      </c>
      <c r="G287" s="1"/>
      <c r="H287" s="1"/>
      <c r="K287" s="9" t="s">
        <v>254</v>
      </c>
      <c r="L287" s="9"/>
      <c r="M287" s="9"/>
    </row>
    <row r="288" spans="1:16" ht="15.75" customHeight="1" x14ac:dyDescent="0.35">
      <c r="B288" s="9"/>
      <c r="C288" s="9"/>
      <c r="D288" s="9"/>
      <c r="E288" s="9"/>
      <c r="F288" s="12"/>
      <c r="G288" s="12"/>
      <c r="H288" s="12"/>
      <c r="I288" s="12"/>
      <c r="J288" s="12"/>
      <c r="K288" s="12"/>
      <c r="L288" s="1"/>
    </row>
    <row r="289" spans="1:16" ht="15.75" customHeight="1" x14ac:dyDescent="0.35">
      <c r="B289" s="13"/>
      <c r="C289" s="13"/>
      <c r="D289" s="15"/>
      <c r="G289" s="15"/>
      <c r="H289" s="14" t="s">
        <v>255</v>
      </c>
      <c r="I289" s="1"/>
      <c r="J289" s="2"/>
      <c r="K289" s="2"/>
      <c r="L289" s="8"/>
    </row>
    <row r="290" spans="1:16" x14ac:dyDescent="0.35">
      <c r="B290" s="13" t="s">
        <v>5</v>
      </c>
      <c r="C290" s="13" t="s">
        <v>1</v>
      </c>
      <c r="D290" s="15" t="str">
        <f>VLOOKUP(A291,Inventory!$A$4:$K$1139,7)</f>
        <v xml:space="preserve">Klatch                             </v>
      </c>
      <c r="F290" s="13" t="s">
        <v>235</v>
      </c>
      <c r="G290" s="16"/>
      <c r="L290" s="8"/>
      <c r="M290" s="17"/>
    </row>
    <row r="291" spans="1:16" x14ac:dyDescent="0.35">
      <c r="A291">
        <v>167</v>
      </c>
      <c r="B291" s="5">
        <v>45225</v>
      </c>
      <c r="C291" s="15" t="str">
        <f>VLOOKUP(A291,Inventory!$A$4:$K$1139,2)</f>
        <v>Uganda Sipi Falls Organic 2020</v>
      </c>
      <c r="E291" s="11"/>
      <c r="F291" s="31" t="s">
        <v>291</v>
      </c>
      <c r="G291" s="2" t="s">
        <v>286</v>
      </c>
      <c r="M291" s="17"/>
      <c r="P291" s="8"/>
    </row>
    <row r="292" spans="1:16" x14ac:dyDescent="0.35">
      <c r="D292" s="11"/>
      <c r="E292" s="11"/>
      <c r="G292" s="16"/>
      <c r="L292" s="19"/>
      <c r="M292" s="19"/>
    </row>
    <row r="293" spans="1:16" x14ac:dyDescent="0.35">
      <c r="B293" s="20"/>
      <c r="C293" s="11" t="s">
        <v>240</v>
      </c>
      <c r="D293" s="11" t="s">
        <v>241</v>
      </c>
      <c r="E293" s="11">
        <v>368</v>
      </c>
      <c r="F293" s="11">
        <v>375</v>
      </c>
      <c r="G293" s="11">
        <v>383</v>
      </c>
      <c r="H293" s="11">
        <v>390</v>
      </c>
      <c r="I293" s="11">
        <v>397</v>
      </c>
      <c r="J293" s="11"/>
      <c r="K293" s="11"/>
      <c r="L293" s="11"/>
    </row>
    <row r="294" spans="1:16" ht="15.75" customHeight="1" x14ac:dyDescent="0.35">
      <c r="B294" s="20" t="s">
        <v>242</v>
      </c>
      <c r="C294" s="30"/>
      <c r="D294" s="30"/>
      <c r="E294" s="23" t="s">
        <v>244</v>
      </c>
      <c r="F294" s="23" t="s">
        <v>245</v>
      </c>
      <c r="G294" s="23" t="s">
        <v>246</v>
      </c>
      <c r="H294" s="23" t="s">
        <v>247</v>
      </c>
      <c r="I294" s="23" t="s">
        <v>259</v>
      </c>
      <c r="O294" s="4"/>
    </row>
    <row r="295" spans="1:16" ht="1" customHeight="1" x14ac:dyDescent="0.35">
      <c r="B295" s="24" t="s">
        <v>249</v>
      </c>
      <c r="C295" s="25"/>
      <c r="D295" s="25"/>
      <c r="E295" s="25"/>
      <c r="F295" s="25"/>
      <c r="G295" s="25"/>
      <c r="H295" s="25"/>
      <c r="I295" s="25"/>
      <c r="O295" t="e">
        <f>(O293-3*O292)/O294</f>
        <v>#DIV/0!</v>
      </c>
    </row>
    <row r="296" spans="1:16" ht="15.75" customHeight="1" x14ac:dyDescent="0.35">
      <c r="B296" s="20" t="s">
        <v>250</v>
      </c>
      <c r="C296" s="26">
        <v>0.19791666666666666</v>
      </c>
      <c r="D296" s="26">
        <v>0.28125</v>
      </c>
      <c r="E296" s="26">
        <v>0.36805555555555558</v>
      </c>
      <c r="F296" s="26">
        <f>E296+'Lookup Tables'!$N$1</f>
        <v>0.3888888888888889</v>
      </c>
      <c r="G296" s="26">
        <f>F296+'Lookup Tables'!$N$1</f>
        <v>0.40972222222222221</v>
      </c>
      <c r="H296" s="26">
        <f>G296+'Lookup Tables'!$N$1</f>
        <v>0.43055555555555552</v>
      </c>
      <c r="I296" s="26">
        <f>H296+'Lookup Tables'!$N$1</f>
        <v>0.45138888888888884</v>
      </c>
      <c r="N296">
        <f>MAX(F293:M293)-O296</f>
        <v>29</v>
      </c>
      <c r="O296" t="str">
        <f>RIGHT(E293,3)</f>
        <v>368</v>
      </c>
    </row>
    <row r="297" spans="1:16" ht="15.75" customHeight="1" x14ac:dyDescent="0.35">
      <c r="B297" s="20" t="s">
        <v>251</v>
      </c>
      <c r="C297" s="27">
        <v>0.2</v>
      </c>
      <c r="D297" s="27">
        <v>0.5</v>
      </c>
      <c r="E297" s="27"/>
      <c r="F297" s="27"/>
      <c r="G297" s="27" t="s">
        <v>274</v>
      </c>
      <c r="H297" s="25"/>
      <c r="I297" s="27"/>
      <c r="N297" t="str">
        <f xml:space="preserve">  N296 &amp; " degrees this time"</f>
        <v>29 degrees this time</v>
      </c>
    </row>
    <row r="298" spans="1:16" ht="15.75" customHeight="1" x14ac:dyDescent="0.35">
      <c r="B298" s="20" t="s">
        <v>252</v>
      </c>
      <c r="C298" s="27">
        <v>0.9</v>
      </c>
      <c r="D298" s="27">
        <v>0.8</v>
      </c>
      <c r="E298" s="27">
        <v>0.6</v>
      </c>
      <c r="F298" s="27">
        <v>0.4</v>
      </c>
      <c r="G298" s="27" t="s">
        <v>274</v>
      </c>
      <c r="H298" s="27"/>
      <c r="I298" s="27" t="s">
        <v>275</v>
      </c>
    </row>
    <row r="299" spans="1:16" ht="15.75" customHeight="1" x14ac:dyDescent="0.35">
      <c r="B299" s="20"/>
      <c r="D299" s="11"/>
      <c r="E299" s="11"/>
      <c r="F299" s="11"/>
      <c r="H299" s="35"/>
    </row>
    <row r="300" spans="1:16" ht="15.75" customHeight="1" x14ac:dyDescent="0.35">
      <c r="B300" s="20"/>
      <c r="G300" s="1" t="s">
        <v>304</v>
      </c>
      <c r="K300" s="32"/>
      <c r="L300" s="9"/>
      <c r="M300" s="9"/>
    </row>
    <row r="301" spans="1:16" ht="15.75" customHeight="1" x14ac:dyDescent="0.35">
      <c r="B301" s="20"/>
      <c r="G301" s="1"/>
      <c r="H301" s="1"/>
      <c r="K301" s="32"/>
      <c r="L301" s="9"/>
      <c r="M301" s="9"/>
    </row>
    <row r="302" spans="1:16" ht="15.75" customHeight="1" x14ac:dyDescent="0.35">
      <c r="B302" s="20"/>
      <c r="G302" s="1"/>
      <c r="H302" s="1"/>
      <c r="K302" s="9" t="s">
        <v>300</v>
      </c>
      <c r="L302" s="9"/>
      <c r="M302" s="9"/>
    </row>
    <row r="303" spans="1:16" ht="15.75" customHeight="1" x14ac:dyDescent="0.35">
      <c r="B303" s="9"/>
      <c r="C303" s="9"/>
      <c r="D303" s="9"/>
      <c r="E303" s="9"/>
      <c r="F303" s="12"/>
      <c r="G303" s="12"/>
      <c r="H303" s="12"/>
      <c r="I303" s="12"/>
      <c r="J303" s="12"/>
      <c r="K303" s="12"/>
      <c r="L303" s="1"/>
    </row>
    <row r="304" spans="1:16" ht="15.75" customHeight="1" x14ac:dyDescent="0.35">
      <c r="B304" s="13"/>
      <c r="C304" s="13"/>
      <c r="D304" s="13"/>
      <c r="E304" s="13"/>
      <c r="F304" s="33" t="s">
        <v>330</v>
      </c>
      <c r="G304" s="13"/>
      <c r="I304" s="13"/>
    </row>
    <row r="305" spans="1:16" x14ac:dyDescent="0.35">
      <c r="B305" s="13" t="s">
        <v>5</v>
      </c>
      <c r="C305" s="13" t="s">
        <v>1</v>
      </c>
      <c r="D305" s="15" t="str">
        <f>VLOOKUP(A306,Inventory!$A$4:$K$1139,7)</f>
        <v xml:space="preserve">Klatch                             </v>
      </c>
      <c r="F305" s="13" t="s">
        <v>235</v>
      </c>
      <c r="G305" s="16"/>
      <c r="L305" s="17"/>
      <c r="M305" s="17"/>
    </row>
    <row r="306" spans="1:16" x14ac:dyDescent="0.35">
      <c r="A306">
        <v>161</v>
      </c>
      <c r="B306" s="5">
        <v>45225</v>
      </c>
      <c r="C306" s="15" t="str">
        <f>VLOOKUP(A306,Inventory!$A$4:$K$1139,2)</f>
        <v>Colombia Nariño Organic 2020</v>
      </c>
      <c r="E306" s="11"/>
      <c r="F306" s="34" t="s">
        <v>279</v>
      </c>
      <c r="G306" s="2" t="s">
        <v>286</v>
      </c>
      <c r="L306" s="17"/>
      <c r="M306" s="17"/>
      <c r="P306" s="8"/>
    </row>
    <row r="307" spans="1:16" x14ac:dyDescent="0.35">
      <c r="D307" s="11"/>
      <c r="E307" s="11"/>
      <c r="G307" s="16"/>
      <c r="L307" s="19"/>
      <c r="M307" s="19"/>
    </row>
    <row r="308" spans="1:16" x14ac:dyDescent="0.35">
      <c r="B308" s="20"/>
      <c r="C308" s="11" t="s">
        <v>240</v>
      </c>
      <c r="D308" s="11" t="s">
        <v>272</v>
      </c>
      <c r="E308" s="11">
        <v>368</v>
      </c>
      <c r="F308" s="11">
        <v>375</v>
      </c>
      <c r="G308" s="11">
        <v>381</v>
      </c>
      <c r="H308" s="11">
        <v>388</v>
      </c>
      <c r="I308" s="11">
        <v>393</v>
      </c>
      <c r="J308" s="11"/>
      <c r="K308" s="11"/>
      <c r="L308" s="11"/>
    </row>
    <row r="309" spans="1:16" ht="15.75" customHeight="1" x14ac:dyDescent="0.35">
      <c r="B309" s="20" t="s">
        <v>242</v>
      </c>
      <c r="C309" s="21"/>
      <c r="D309" s="22" t="s">
        <v>294</v>
      </c>
      <c r="E309" s="23" t="s">
        <v>244</v>
      </c>
      <c r="F309" s="23" t="s">
        <v>245</v>
      </c>
      <c r="G309" s="23" t="s">
        <v>246</v>
      </c>
      <c r="H309" s="23" t="s">
        <v>247</v>
      </c>
      <c r="I309" s="23" t="s">
        <v>248</v>
      </c>
      <c r="O309" s="4"/>
    </row>
    <row r="310" spans="1:16" ht="1" customHeight="1" x14ac:dyDescent="0.35">
      <c r="B310" s="24" t="s">
        <v>249</v>
      </c>
      <c r="C310" s="25"/>
      <c r="D310" s="25"/>
      <c r="E310" s="25"/>
      <c r="F310" s="25"/>
      <c r="G310" s="25"/>
      <c r="H310" s="25"/>
      <c r="I310" s="25"/>
      <c r="O310" t="e">
        <f>(O308-3*O307)/O309</f>
        <v>#DIV/0!</v>
      </c>
    </row>
    <row r="311" spans="1:16" ht="15.75" customHeight="1" x14ac:dyDescent="0.35">
      <c r="B311" s="20" t="s">
        <v>250</v>
      </c>
      <c r="C311" s="26">
        <v>0.21527777777777779</v>
      </c>
      <c r="D311" s="26">
        <v>0.2986111111111111</v>
      </c>
      <c r="E311" s="26">
        <v>0.37152777777777773</v>
      </c>
      <c r="F311" s="26">
        <f>E311+'Lookup Tables'!$N$1</f>
        <v>0.39236111111111105</v>
      </c>
      <c r="G311" s="26">
        <f>F311+'Lookup Tables'!$N$1</f>
        <v>0.41319444444444436</v>
      </c>
      <c r="H311" s="26">
        <f>G311+'Lookup Tables'!$N$1</f>
        <v>0.43402777777777768</v>
      </c>
      <c r="I311" s="26">
        <f>H311+'Lookup Tables'!$S$1</f>
        <v>0.44444444444444436</v>
      </c>
      <c r="N311">
        <f>MAX(F308:M308)-O311</f>
        <v>25</v>
      </c>
      <c r="O311" t="str">
        <f>RIGHT(E308,3)</f>
        <v>368</v>
      </c>
    </row>
    <row r="312" spans="1:16" ht="15.75" customHeight="1" x14ac:dyDescent="0.35">
      <c r="B312" s="20" t="s">
        <v>251</v>
      </c>
      <c r="C312" s="27">
        <v>0.2</v>
      </c>
      <c r="D312" s="27">
        <v>0.5</v>
      </c>
      <c r="E312" s="27"/>
      <c r="F312" s="27"/>
      <c r="G312" s="27"/>
      <c r="H312" s="27"/>
      <c r="I312" s="25"/>
      <c r="N312" t="str">
        <f xml:space="preserve">  N311 &amp; " degrees this time"</f>
        <v>25 degrees this time</v>
      </c>
    </row>
    <row r="313" spans="1:16" ht="15.75" customHeight="1" x14ac:dyDescent="0.35">
      <c r="B313" s="20" t="s">
        <v>252</v>
      </c>
      <c r="C313" s="27">
        <v>0.9</v>
      </c>
      <c r="D313" s="27">
        <v>0.8</v>
      </c>
      <c r="E313" s="27">
        <v>0.7</v>
      </c>
      <c r="F313" s="27">
        <v>0.6</v>
      </c>
      <c r="G313" s="27">
        <v>0.5</v>
      </c>
      <c r="H313" s="27"/>
      <c r="I313" s="27" t="s">
        <v>275</v>
      </c>
    </row>
    <row r="314" spans="1:16" ht="15.75" customHeight="1" x14ac:dyDescent="0.35">
      <c r="B314" s="20"/>
      <c r="D314" s="11"/>
      <c r="E314" s="11"/>
      <c r="F314" s="11"/>
      <c r="G314" s="40"/>
      <c r="H314" s="35"/>
    </row>
    <row r="315" spans="1:16" ht="15.75" customHeight="1" x14ac:dyDescent="0.35">
      <c r="B315" s="20"/>
      <c r="G315" s="1" t="s">
        <v>331</v>
      </c>
      <c r="K315" s="32" t="s">
        <v>332</v>
      </c>
      <c r="L315" s="9"/>
      <c r="M315" s="9"/>
    </row>
    <row r="316" spans="1:16" ht="15.75" customHeight="1" x14ac:dyDescent="0.35">
      <c r="B316" s="30"/>
      <c r="G316" s="1"/>
      <c r="H316" s="1"/>
      <c r="K316" s="32"/>
      <c r="L316" s="9"/>
      <c r="M316" s="9"/>
    </row>
    <row r="317" spans="1:16" ht="15.75" customHeight="1" x14ac:dyDescent="0.35">
      <c r="B317" s="30"/>
      <c r="G317" s="1"/>
      <c r="H317" s="1"/>
      <c r="K317" s="9" t="s">
        <v>300</v>
      </c>
      <c r="L317" s="9"/>
      <c r="M317" s="9"/>
    </row>
    <row r="318" spans="1:16" ht="15.75" customHeight="1" x14ac:dyDescent="0.35">
      <c r="B318" s="9"/>
      <c r="C318" s="9"/>
      <c r="D318" s="9"/>
      <c r="E318" s="9"/>
      <c r="F318" s="12"/>
      <c r="G318" s="12"/>
      <c r="H318" s="12"/>
      <c r="I318" s="12"/>
      <c r="J318" s="12"/>
      <c r="K318" s="12"/>
      <c r="L318" s="1"/>
    </row>
    <row r="319" spans="1:16" ht="15.75" customHeight="1" x14ac:dyDescent="0.35">
      <c r="B319" s="13"/>
      <c r="C319" s="13"/>
      <c r="D319" s="15"/>
      <c r="F319" s="33" t="s">
        <v>316</v>
      </c>
      <c r="G319" s="13"/>
      <c r="H319" s="14" t="s">
        <v>255</v>
      </c>
      <c r="I319" s="13"/>
      <c r="J319" s="1"/>
    </row>
    <row r="320" spans="1:16" x14ac:dyDescent="0.35">
      <c r="B320" s="13" t="s">
        <v>5</v>
      </c>
      <c r="C320" s="13" t="s">
        <v>1</v>
      </c>
      <c r="D320" s="15" t="str">
        <f>VLOOKUP(A321,Inventory!$A$4:$K$1139,7)</f>
        <v>Hacea</v>
      </c>
      <c r="F320" s="13" t="s">
        <v>235</v>
      </c>
      <c r="G320" s="16"/>
      <c r="L320" s="17"/>
      <c r="M320" s="17"/>
    </row>
    <row r="321" spans="1:16" x14ac:dyDescent="0.35">
      <c r="A321">
        <v>175</v>
      </c>
      <c r="B321" s="5">
        <v>45225</v>
      </c>
      <c r="C321" s="15" t="str">
        <f>VLOOKUP(A321,Inventory!$A$4:$K$1139,2)</f>
        <v>Guatemala Antigua Jauja Rosario washed 2022</v>
      </c>
      <c r="E321" s="11"/>
      <c r="F321" s="31" t="s">
        <v>291</v>
      </c>
      <c r="G321" s="2" t="s">
        <v>286</v>
      </c>
      <c r="L321" s="17"/>
      <c r="M321" s="17"/>
      <c r="P321" s="8"/>
    </row>
    <row r="322" spans="1:16" x14ac:dyDescent="0.35">
      <c r="B322" s="13"/>
      <c r="C322" s="13"/>
      <c r="D322" s="11"/>
      <c r="F322" s="13"/>
      <c r="G322" s="16"/>
      <c r="I322" s="1"/>
      <c r="L322" s="19"/>
      <c r="M322" s="19"/>
    </row>
    <row r="323" spans="1:16" x14ac:dyDescent="0.35">
      <c r="B323" s="20"/>
      <c r="C323" s="11" t="s">
        <v>240</v>
      </c>
      <c r="D323" s="11" t="s">
        <v>241</v>
      </c>
      <c r="E323" s="11">
        <v>368</v>
      </c>
      <c r="F323" s="11">
        <v>374</v>
      </c>
      <c r="G323" s="11">
        <v>381</v>
      </c>
      <c r="H323" s="11">
        <v>389</v>
      </c>
      <c r="I323" s="11">
        <v>392</v>
      </c>
      <c r="J323" s="11" t="s">
        <v>312</v>
      </c>
      <c r="K323" s="11"/>
      <c r="L323" s="11"/>
    </row>
    <row r="324" spans="1:16" ht="15.75" customHeight="1" x14ac:dyDescent="0.35">
      <c r="B324" s="20" t="s">
        <v>242</v>
      </c>
      <c r="C324" s="30"/>
      <c r="D324" s="30"/>
      <c r="E324" s="23" t="s">
        <v>244</v>
      </c>
      <c r="F324" s="23" t="s">
        <v>245</v>
      </c>
      <c r="G324" s="23" t="s">
        <v>246</v>
      </c>
      <c r="H324" s="23" t="s">
        <v>247</v>
      </c>
      <c r="I324" s="23" t="s">
        <v>248</v>
      </c>
      <c r="O324" s="4"/>
    </row>
    <row r="325" spans="1:16" ht="1" customHeight="1" x14ac:dyDescent="0.35">
      <c r="B325" s="24" t="s">
        <v>249</v>
      </c>
      <c r="C325" s="25"/>
      <c r="D325" s="25"/>
      <c r="E325" s="25"/>
      <c r="F325" s="25"/>
      <c r="G325" s="25"/>
      <c r="H325" s="25"/>
      <c r="I325" s="25"/>
      <c r="O325" t="e">
        <f>(O323-3*O322)/O324</f>
        <v>#DIV/0!</v>
      </c>
    </row>
    <row r="326" spans="1:16" ht="15.75" customHeight="1" x14ac:dyDescent="0.35">
      <c r="B326" s="20" t="s">
        <v>250</v>
      </c>
      <c r="C326" s="26">
        <v>0.20486111111111113</v>
      </c>
      <c r="D326" s="26">
        <v>0.28472222222222221</v>
      </c>
      <c r="E326" s="26">
        <v>0.3923611111111111</v>
      </c>
      <c r="F326" s="26">
        <f>E326+'Lookup Tables'!$N$1</f>
        <v>0.41319444444444442</v>
      </c>
      <c r="G326" s="26">
        <f>F326+'Lookup Tables'!$N$1</f>
        <v>0.43402777777777773</v>
      </c>
      <c r="H326" s="26">
        <f>G326+'Lookup Tables'!$N$1</f>
        <v>0.45486111111111105</v>
      </c>
      <c r="I326" s="26">
        <f>H326+'Lookup Tables'!$S$1</f>
        <v>0.46527777777777773</v>
      </c>
      <c r="N326">
        <f>MAX(F323:M323)-O326</f>
        <v>24</v>
      </c>
      <c r="O326" t="str">
        <f>RIGHT(E323,3)</f>
        <v>368</v>
      </c>
    </row>
    <row r="327" spans="1:16" ht="15.75" customHeight="1" x14ac:dyDescent="0.35">
      <c r="B327" s="20" t="s">
        <v>251</v>
      </c>
      <c r="C327" s="27">
        <v>0.2</v>
      </c>
      <c r="D327" s="27">
        <v>0.5</v>
      </c>
      <c r="E327" s="27"/>
      <c r="F327" s="27"/>
      <c r="G327" s="27"/>
      <c r="H327" s="27"/>
      <c r="I327" s="25"/>
      <c r="N327" t="str">
        <f xml:space="preserve">  N326 &amp; " degrees this time"</f>
        <v>24 degrees this time</v>
      </c>
    </row>
    <row r="328" spans="1:16" ht="15.75" customHeight="1" x14ac:dyDescent="0.35">
      <c r="B328" s="20" t="s">
        <v>252</v>
      </c>
      <c r="C328" s="27">
        <v>0.9</v>
      </c>
      <c r="D328" s="27">
        <v>0.7</v>
      </c>
      <c r="E328" s="27"/>
      <c r="F328" s="27"/>
      <c r="G328" s="27">
        <v>0.6</v>
      </c>
      <c r="H328" s="27">
        <v>0.4</v>
      </c>
      <c r="I328" s="27" t="s">
        <v>275</v>
      </c>
    </row>
    <row r="329" spans="1:16" ht="15.75" customHeight="1" x14ac:dyDescent="0.35">
      <c r="B329" s="20"/>
      <c r="D329" s="37"/>
      <c r="E329" s="11"/>
      <c r="F329" s="11"/>
      <c r="G329" s="40"/>
      <c r="H329" s="11"/>
      <c r="I329" s="11"/>
      <c r="J329" s="37"/>
      <c r="K329" s="32" t="s">
        <v>306</v>
      </c>
      <c r="L329" s="9"/>
      <c r="M329" s="9"/>
    </row>
    <row r="330" spans="1:16" ht="15.75" customHeight="1" x14ac:dyDescent="0.35">
      <c r="G330" s="1" t="s">
        <v>307</v>
      </c>
      <c r="H330" s="1"/>
      <c r="K330" s="32"/>
      <c r="L330" s="9"/>
      <c r="M330" s="9"/>
    </row>
    <row r="331" spans="1:16" ht="15.75" customHeight="1" x14ac:dyDescent="0.35">
      <c r="B331" s="20"/>
      <c r="G331" s="1"/>
      <c r="H331" s="1"/>
      <c r="I331" s="2" t="s">
        <v>308</v>
      </c>
      <c r="K331" s="32" t="s">
        <v>309</v>
      </c>
      <c r="L331" s="9"/>
      <c r="M331" s="9"/>
    </row>
    <row r="332" spans="1:16" ht="15.75" customHeight="1" x14ac:dyDescent="0.35">
      <c r="B332" s="20"/>
      <c r="G332" s="1"/>
      <c r="H332" s="1"/>
      <c r="K332" s="9" t="s">
        <v>300</v>
      </c>
      <c r="L332" s="9"/>
      <c r="M332" s="9"/>
    </row>
    <row r="333" spans="1:16" ht="15.75" customHeight="1" x14ac:dyDescent="0.35">
      <c r="B333" s="9"/>
      <c r="C333" s="9"/>
      <c r="D333" s="9"/>
      <c r="E333" s="9"/>
      <c r="F333" s="12"/>
      <c r="G333" s="12"/>
      <c r="H333" s="12"/>
      <c r="I333" s="12"/>
      <c r="J333" s="12"/>
      <c r="K333" s="12"/>
      <c r="L333" s="1"/>
    </row>
    <row r="334" spans="1:16" ht="15.75" customHeight="1" x14ac:dyDescent="0.35">
      <c r="B334" s="13"/>
      <c r="C334" s="13"/>
      <c r="D334" s="13"/>
      <c r="E334" s="13"/>
      <c r="F334" s="13"/>
      <c r="G334" s="13"/>
      <c r="I334" s="14"/>
    </row>
    <row r="335" spans="1:16" x14ac:dyDescent="0.35">
      <c r="B335" s="13" t="s">
        <v>5</v>
      </c>
      <c r="C335" s="13" t="s">
        <v>1</v>
      </c>
      <c r="D335" s="15" t="str">
        <f>VLOOKUP(A336,Inventory!$A$4:$K$1139,7)</f>
        <v xml:space="preserve">Sweet Marias                       </v>
      </c>
      <c r="F335" s="13" t="s">
        <v>235</v>
      </c>
      <c r="G335" s="16"/>
      <c r="H335" s="14" t="s">
        <v>236</v>
      </c>
      <c r="L335" s="17"/>
      <c r="M335" s="17"/>
    </row>
    <row r="336" spans="1:16" x14ac:dyDescent="0.35">
      <c r="A336">
        <v>170</v>
      </c>
      <c r="B336" s="5">
        <v>45212</v>
      </c>
      <c r="C336" s="15" t="str">
        <f>VLOOKUP(A336,Inventory!$A$4:$K$1139,2)</f>
        <v>Guatemala Cafeteros SWP Decaf 2021</v>
      </c>
      <c r="F336" s="18" t="s">
        <v>237</v>
      </c>
      <c r="G336" s="2" t="s">
        <v>238</v>
      </c>
      <c r="L336" s="17"/>
      <c r="M336" s="17"/>
      <c r="P336" s="8"/>
    </row>
    <row r="337" spans="1:16" x14ac:dyDescent="0.35">
      <c r="I337" s="2" t="s">
        <v>239</v>
      </c>
      <c r="J337" s="1" t="s">
        <v>16</v>
      </c>
      <c r="L337" s="19"/>
      <c r="M337" s="19"/>
    </row>
    <row r="338" spans="1:16" x14ac:dyDescent="0.35">
      <c r="C338" s="11" t="s">
        <v>240</v>
      </c>
      <c r="D338" s="11" t="s">
        <v>241</v>
      </c>
      <c r="E338" s="11">
        <v>375</v>
      </c>
      <c r="F338" s="11">
        <v>381</v>
      </c>
      <c r="G338" s="11">
        <v>387</v>
      </c>
      <c r="H338" s="11">
        <v>394</v>
      </c>
      <c r="I338" s="11">
        <v>400</v>
      </c>
      <c r="J338" s="11"/>
      <c r="K338" s="11"/>
      <c r="L338" s="11"/>
    </row>
    <row r="339" spans="1:16" ht="15.75" customHeight="1" x14ac:dyDescent="0.35">
      <c r="B339" s="20" t="s">
        <v>242</v>
      </c>
      <c r="C339" s="21"/>
      <c r="D339" s="22" t="s">
        <v>243</v>
      </c>
      <c r="E339" s="23" t="s">
        <v>244</v>
      </c>
      <c r="F339" s="23" t="s">
        <v>245</v>
      </c>
      <c r="G339" s="23" t="s">
        <v>246</v>
      </c>
      <c r="H339" s="23" t="s">
        <v>247</v>
      </c>
      <c r="I339" s="23" t="s">
        <v>259</v>
      </c>
      <c r="O339" s="4"/>
    </row>
    <row r="340" spans="1:16" ht="1" customHeight="1" x14ac:dyDescent="0.35">
      <c r="B340" s="24" t="s">
        <v>249</v>
      </c>
      <c r="C340" s="25">
        <v>320</v>
      </c>
      <c r="D340" s="25">
        <v>350</v>
      </c>
      <c r="E340" s="25">
        <v>377</v>
      </c>
      <c r="F340" s="25">
        <v>384</v>
      </c>
      <c r="G340" s="25">
        <v>388</v>
      </c>
      <c r="H340" s="25">
        <v>392</v>
      </c>
      <c r="I340" s="25">
        <v>392</v>
      </c>
      <c r="O340" t="e">
        <f>(O338-3*O337)/O339</f>
        <v>#DIV/0!</v>
      </c>
    </row>
    <row r="341" spans="1:16" ht="15.75" customHeight="1" x14ac:dyDescent="0.35">
      <c r="B341" s="20" t="s">
        <v>250</v>
      </c>
      <c r="C341" s="26">
        <v>0.2673611111111111</v>
      </c>
      <c r="D341" s="26">
        <v>0.35069444444444442</v>
      </c>
      <c r="E341" s="26">
        <v>0.47222222222222227</v>
      </c>
      <c r="F341" s="26">
        <f>E341+'Lookup Tables'!$N$1</f>
        <v>0.49305555555555558</v>
      </c>
      <c r="G341" s="26">
        <f>F341+'Lookup Tables'!$N$1</f>
        <v>0.51388888888888895</v>
      </c>
      <c r="H341" s="26">
        <f>G341+'Lookup Tables'!$N$1</f>
        <v>0.53472222222222232</v>
      </c>
      <c r="I341" s="26">
        <f>H341+'Lookup Tables'!$N$1</f>
        <v>0.55555555555555569</v>
      </c>
      <c r="N341">
        <f>MAX(F338:M338)-O341</f>
        <v>25</v>
      </c>
      <c r="O341" t="str">
        <f>RIGHT(E338,3)</f>
        <v>375</v>
      </c>
    </row>
    <row r="342" spans="1:16" ht="15.75" customHeight="1" x14ac:dyDescent="0.35">
      <c r="B342" s="20" t="s">
        <v>251</v>
      </c>
      <c r="C342" s="27">
        <v>0.2</v>
      </c>
      <c r="D342" s="27">
        <v>0.5</v>
      </c>
      <c r="E342" s="27"/>
      <c r="F342" s="27"/>
      <c r="G342" s="27"/>
      <c r="H342" s="27"/>
      <c r="I342" s="27"/>
      <c r="N342" t="str">
        <f xml:space="preserve">  N341 &amp; " degrees this time"</f>
        <v>25 degrees this time</v>
      </c>
    </row>
    <row r="343" spans="1:16" ht="15.75" customHeight="1" x14ac:dyDescent="0.35">
      <c r="B343" s="20" t="s">
        <v>252</v>
      </c>
      <c r="C343" s="27">
        <v>0.9</v>
      </c>
      <c r="D343" s="27">
        <v>0.8</v>
      </c>
      <c r="E343" s="27">
        <v>0.7</v>
      </c>
      <c r="F343" s="27">
        <v>0.5</v>
      </c>
      <c r="G343" s="27"/>
      <c r="H343" s="27"/>
      <c r="I343" s="27"/>
    </row>
    <row r="344" spans="1:16" ht="15.75" customHeight="1" x14ac:dyDescent="0.35">
      <c r="B344" s="20"/>
      <c r="D344" s="11"/>
      <c r="E344" s="11"/>
      <c r="F344" s="28"/>
      <c r="H344" s="1"/>
      <c r="I344" s="1"/>
    </row>
    <row r="345" spans="1:16" ht="15.75" customHeight="1" x14ac:dyDescent="0.35">
      <c r="C345" s="1"/>
      <c r="G345" s="1" t="s">
        <v>253</v>
      </c>
      <c r="K345" s="12"/>
      <c r="L345" s="9"/>
      <c r="M345" s="9"/>
    </row>
    <row r="346" spans="1:16" ht="15.75" customHeight="1" x14ac:dyDescent="0.35">
      <c r="B346" s="20"/>
      <c r="G346" s="1"/>
      <c r="H346" s="1"/>
      <c r="K346" s="9"/>
      <c r="L346" s="9"/>
      <c r="M346" s="9"/>
    </row>
    <row r="347" spans="1:16" ht="15.75" customHeight="1" x14ac:dyDescent="0.35">
      <c r="B347" s="20"/>
      <c r="G347" s="1"/>
      <c r="H347" s="1"/>
      <c r="K347" s="9" t="s">
        <v>254</v>
      </c>
      <c r="L347" s="9"/>
      <c r="M347" s="9"/>
    </row>
    <row r="348" spans="1:16" ht="15.75" customHeight="1" x14ac:dyDescent="0.35">
      <c r="B348" s="9"/>
      <c r="C348" s="9"/>
      <c r="D348" s="9"/>
      <c r="E348" s="9"/>
      <c r="F348" s="12"/>
      <c r="G348" s="12"/>
      <c r="H348" s="12"/>
      <c r="I348" s="12"/>
      <c r="J348" s="12"/>
      <c r="K348" s="12"/>
      <c r="L348" s="1"/>
    </row>
    <row r="349" spans="1:16" ht="15.75" customHeight="1" x14ac:dyDescent="0.35">
      <c r="B349" s="13"/>
      <c r="C349" s="13"/>
      <c r="D349" s="15"/>
      <c r="H349" s="14" t="s">
        <v>255</v>
      </c>
      <c r="I349" s="14"/>
    </row>
    <row r="350" spans="1:16" x14ac:dyDescent="0.35">
      <c r="B350" s="13" t="s">
        <v>5</v>
      </c>
      <c r="C350" s="13" t="s">
        <v>1</v>
      </c>
      <c r="D350" s="15" t="str">
        <f>VLOOKUP(A351,Inventory!$A$4:$K$1139,7)</f>
        <v xml:space="preserve">Sweet Marias                       </v>
      </c>
      <c r="F350" s="13" t="s">
        <v>235</v>
      </c>
      <c r="G350" s="16"/>
      <c r="H350" s="14" t="s">
        <v>256</v>
      </c>
    </row>
    <row r="351" spans="1:16" x14ac:dyDescent="0.35">
      <c r="A351">
        <v>170</v>
      </c>
      <c r="B351" s="5">
        <v>45212</v>
      </c>
      <c r="C351" s="15" t="str">
        <f>VLOOKUP(A351,Inventory!$A$4:$K$1139,2)</f>
        <v>Guatemala Cafeteros SWP Decaf 2021</v>
      </c>
      <c r="F351" s="18" t="s">
        <v>257</v>
      </c>
      <c r="G351" s="2" t="s">
        <v>238</v>
      </c>
      <c r="P351" s="8"/>
    </row>
    <row r="352" spans="1:16" x14ac:dyDescent="0.35">
      <c r="H352" s="2" t="s">
        <v>258</v>
      </c>
    </row>
    <row r="353" spans="1:16" x14ac:dyDescent="0.35">
      <c r="C353" s="11" t="s">
        <v>240</v>
      </c>
      <c r="D353" s="11" t="s">
        <v>241</v>
      </c>
      <c r="E353" s="11">
        <v>366</v>
      </c>
      <c r="F353" s="11">
        <v>372</v>
      </c>
      <c r="G353" s="11">
        <v>377</v>
      </c>
      <c r="H353" s="11">
        <v>384</v>
      </c>
      <c r="I353" s="11"/>
      <c r="J353" s="11"/>
      <c r="K353" s="11"/>
      <c r="L353" s="11"/>
    </row>
    <row r="354" spans="1:16" ht="15.75" customHeight="1" x14ac:dyDescent="0.35">
      <c r="B354" s="20" t="s">
        <v>242</v>
      </c>
      <c r="C354" s="21"/>
      <c r="D354" s="22" t="s">
        <v>294</v>
      </c>
      <c r="E354" s="23" t="s">
        <v>244</v>
      </c>
      <c r="F354" s="23" t="s">
        <v>245</v>
      </c>
      <c r="G354" s="23" t="s">
        <v>246</v>
      </c>
      <c r="H354" s="23" t="s">
        <v>247</v>
      </c>
      <c r="I354" s="23" t="s">
        <v>259</v>
      </c>
      <c r="J354" s="23" t="s">
        <v>260</v>
      </c>
      <c r="K354" s="23" t="s">
        <v>261</v>
      </c>
      <c r="O354" s="4"/>
    </row>
    <row r="355" spans="1:16" ht="1" customHeight="1" x14ac:dyDescent="0.35">
      <c r="B355" s="24" t="s">
        <v>249</v>
      </c>
      <c r="C355" s="25">
        <v>320</v>
      </c>
      <c r="D355" s="25">
        <v>350</v>
      </c>
      <c r="E355" s="25">
        <v>377</v>
      </c>
      <c r="F355" s="25">
        <v>384</v>
      </c>
      <c r="G355" s="25">
        <v>388</v>
      </c>
      <c r="H355" s="25">
        <v>392</v>
      </c>
      <c r="I355" s="25">
        <v>395</v>
      </c>
      <c r="J355" s="25">
        <v>415</v>
      </c>
      <c r="K355" s="25">
        <v>415</v>
      </c>
      <c r="O355" t="e">
        <f>(O353-3*O352)/O354</f>
        <v>#DIV/0!</v>
      </c>
    </row>
    <row r="356" spans="1:16" ht="15.75" customHeight="1" x14ac:dyDescent="0.35">
      <c r="B356" s="20" t="s">
        <v>250</v>
      </c>
      <c r="C356" s="26">
        <v>0.22222222222222221</v>
      </c>
      <c r="D356" s="26">
        <v>0.30208333333333331</v>
      </c>
      <c r="E356" s="26">
        <v>0.40972222222222227</v>
      </c>
      <c r="F356" s="26">
        <f>E356+'Lookup Tables'!$N$1</f>
        <v>0.43055555555555558</v>
      </c>
      <c r="G356" s="26">
        <f>F356+'Lookup Tables'!$N$1</f>
        <v>0.4513888888888889</v>
      </c>
      <c r="H356" s="26">
        <f>G356+'Lookup Tables'!$N$1</f>
        <v>0.47222222222222221</v>
      </c>
      <c r="I356" s="26">
        <f>H356+'Lookup Tables'!$N$1</f>
        <v>0.49305555555555552</v>
      </c>
      <c r="J356" s="26">
        <f>I356+'Lookup Tables'!$M$1</f>
        <v>0.50347222222222221</v>
      </c>
      <c r="K356" s="26">
        <f>J356+'Lookup Tables'!$M$1</f>
        <v>0.51388888888888884</v>
      </c>
      <c r="N356">
        <f>MAX(F353:M353)-O356</f>
        <v>18</v>
      </c>
      <c r="O356" t="str">
        <f>RIGHT(E353,3)</f>
        <v>366</v>
      </c>
    </row>
    <row r="357" spans="1:16" ht="15.75" customHeight="1" x14ac:dyDescent="0.35">
      <c r="B357" s="20" t="s">
        <v>251</v>
      </c>
      <c r="C357" s="27">
        <v>0.2</v>
      </c>
      <c r="D357" s="27">
        <v>0.5</v>
      </c>
      <c r="E357" s="27"/>
      <c r="F357" s="27"/>
      <c r="G357" s="27"/>
      <c r="H357" s="27"/>
      <c r="I357" s="27"/>
      <c r="J357" s="27"/>
      <c r="K357" s="25"/>
      <c r="N357" t="str">
        <f xml:space="preserve">  N356 &amp; " degrees this time"</f>
        <v>18 degrees this time</v>
      </c>
    </row>
    <row r="358" spans="1:16" ht="15.75" customHeight="1" x14ac:dyDescent="0.35">
      <c r="B358" s="20" t="s">
        <v>252</v>
      </c>
      <c r="C358" s="27">
        <v>0.9</v>
      </c>
      <c r="D358" s="27">
        <v>0.7</v>
      </c>
      <c r="E358" s="27">
        <v>0.6</v>
      </c>
      <c r="F358" s="27"/>
      <c r="G358" s="27"/>
      <c r="H358" s="27"/>
      <c r="I358" s="27"/>
      <c r="J358" s="27"/>
      <c r="K358" s="27"/>
    </row>
    <row r="359" spans="1:16" ht="15.75" customHeight="1" x14ac:dyDescent="0.35">
      <c r="B359" s="20"/>
      <c r="D359" s="11"/>
      <c r="E359" s="11"/>
      <c r="F359" s="28"/>
      <c r="H359" s="1"/>
    </row>
    <row r="360" spans="1:16" ht="15.75" customHeight="1" x14ac:dyDescent="0.35">
      <c r="B360" s="1" t="s">
        <v>262</v>
      </c>
      <c r="F360" t="s">
        <v>263</v>
      </c>
      <c r="G360" s="1"/>
      <c r="K360" s="12"/>
      <c r="L360" s="9"/>
      <c r="M360" s="9"/>
    </row>
    <row r="361" spans="1:16" ht="15.75" customHeight="1" x14ac:dyDescent="0.35">
      <c r="B361" s="20" t="s">
        <v>264</v>
      </c>
      <c r="D361" s="29"/>
      <c r="F361" t="s">
        <v>265</v>
      </c>
      <c r="G361" s="1"/>
      <c r="H361" s="1"/>
      <c r="K361" s="9" t="s">
        <v>266</v>
      </c>
      <c r="L361" s="9"/>
      <c r="M361" s="9"/>
    </row>
    <row r="362" spans="1:16" ht="15.75" customHeight="1" x14ac:dyDescent="0.35">
      <c r="B362" s="20" t="s">
        <v>267</v>
      </c>
      <c r="F362" t="s">
        <v>268</v>
      </c>
      <c r="G362" s="1"/>
      <c r="H362" s="1"/>
      <c r="K362" s="9" t="s">
        <v>254</v>
      </c>
      <c r="L362" s="9"/>
      <c r="M362" s="9"/>
    </row>
    <row r="363" spans="1:16" ht="15.75" customHeight="1" x14ac:dyDescent="0.35">
      <c r="B363" s="9"/>
      <c r="C363" s="9"/>
      <c r="D363" s="9"/>
      <c r="E363" s="9"/>
      <c r="F363" s="12"/>
      <c r="G363" s="12"/>
      <c r="H363" s="12"/>
      <c r="I363" s="12"/>
      <c r="J363" s="12"/>
      <c r="K363" s="12"/>
      <c r="L363" s="1"/>
    </row>
    <row r="364" spans="1:16" ht="15.75" customHeight="1" x14ac:dyDescent="0.35">
      <c r="B364" s="13"/>
      <c r="C364" s="13"/>
      <c r="D364" s="13"/>
      <c r="E364" s="13"/>
      <c r="F364" s="33" t="s">
        <v>282</v>
      </c>
      <c r="G364" s="13"/>
      <c r="I364" s="14"/>
    </row>
    <row r="365" spans="1:16" x14ac:dyDescent="0.35">
      <c r="B365" s="13" t="s">
        <v>5</v>
      </c>
      <c r="C365" s="13" t="s">
        <v>1</v>
      </c>
      <c r="D365" s="15" t="str">
        <f>VLOOKUP(A366,Inventory!$A$4:$K$1139,7)</f>
        <v xml:space="preserve">Sweet Marias                       </v>
      </c>
      <c r="F365" s="13" t="s">
        <v>235</v>
      </c>
      <c r="G365" s="16"/>
      <c r="H365" s="14" t="s">
        <v>236</v>
      </c>
      <c r="L365" s="17"/>
      <c r="M365" s="17"/>
    </row>
    <row r="366" spans="1:16" x14ac:dyDescent="0.35">
      <c r="A366">
        <v>171</v>
      </c>
      <c r="B366" s="5">
        <v>45212</v>
      </c>
      <c r="C366" s="15" t="str">
        <f>VLOOKUP(A366,Inventory!$A$4:$K$1139,2)</f>
        <v>Ethiopia Gera-Goma SWP Decaf 2021</v>
      </c>
      <c r="F366" s="18" t="s">
        <v>237</v>
      </c>
      <c r="G366" s="2" t="s">
        <v>238</v>
      </c>
      <c r="L366" s="17"/>
      <c r="M366" s="17"/>
      <c r="P366" s="8"/>
    </row>
    <row r="367" spans="1:16" x14ac:dyDescent="0.35">
      <c r="I367" s="2" t="s">
        <v>239</v>
      </c>
      <c r="J367" s="1" t="s">
        <v>16</v>
      </c>
      <c r="L367" s="19"/>
      <c r="M367" s="19"/>
    </row>
    <row r="368" spans="1:16" x14ac:dyDescent="0.35">
      <c r="C368" s="11" t="s">
        <v>240</v>
      </c>
      <c r="D368" s="11" t="s">
        <v>241</v>
      </c>
      <c r="E368" s="11">
        <v>375</v>
      </c>
      <c r="F368" s="11">
        <v>382</v>
      </c>
      <c r="G368" s="11">
        <v>389</v>
      </c>
      <c r="H368" s="11">
        <v>397</v>
      </c>
      <c r="I368" s="11">
        <v>400</v>
      </c>
      <c r="J368" s="11"/>
      <c r="K368" s="11"/>
      <c r="L368" s="11"/>
    </row>
    <row r="369" spans="1:16" ht="15.75" customHeight="1" x14ac:dyDescent="0.35">
      <c r="B369" s="20" t="s">
        <v>242</v>
      </c>
      <c r="C369" s="21"/>
      <c r="D369" s="22" t="s">
        <v>333</v>
      </c>
      <c r="E369" s="23" t="s">
        <v>244</v>
      </c>
      <c r="F369" s="23" t="s">
        <v>245</v>
      </c>
      <c r="G369" s="23" t="s">
        <v>246</v>
      </c>
      <c r="H369" s="23" t="s">
        <v>247</v>
      </c>
      <c r="I369" s="23" t="s">
        <v>259</v>
      </c>
      <c r="O369" s="4"/>
    </row>
    <row r="370" spans="1:16" ht="1" customHeight="1" x14ac:dyDescent="0.35">
      <c r="B370" s="24" t="s">
        <v>249</v>
      </c>
      <c r="C370" s="25">
        <v>320</v>
      </c>
      <c r="D370" s="25">
        <v>350</v>
      </c>
      <c r="E370" s="25">
        <v>377</v>
      </c>
      <c r="F370" s="25">
        <v>384</v>
      </c>
      <c r="G370" s="25">
        <v>388</v>
      </c>
      <c r="H370" s="25">
        <v>392</v>
      </c>
      <c r="I370" s="25">
        <v>415</v>
      </c>
      <c r="O370" t="e">
        <f>(O368-3*O367)/O369</f>
        <v>#DIV/0!</v>
      </c>
    </row>
    <row r="371" spans="1:16" ht="15.75" customHeight="1" x14ac:dyDescent="0.35">
      <c r="B371" s="20" t="s">
        <v>250</v>
      </c>
      <c r="C371" s="26">
        <v>0.24652777777777779</v>
      </c>
      <c r="D371" s="26">
        <v>0.3263888888888889</v>
      </c>
      <c r="E371" s="26">
        <v>0.4375</v>
      </c>
      <c r="F371" s="26">
        <f>E371+'Lookup Tables'!$N$1</f>
        <v>0.45833333333333331</v>
      </c>
      <c r="G371" s="26">
        <f>F371+'Lookup Tables'!$N$1</f>
        <v>0.47916666666666663</v>
      </c>
      <c r="H371" s="26">
        <f>G371+'Lookup Tables'!$N$1</f>
        <v>0.49999999999999994</v>
      </c>
      <c r="I371" s="26">
        <f>H371+'Lookup Tables'!$N$1</f>
        <v>0.52083333333333326</v>
      </c>
      <c r="N371">
        <f>MAX(F368:M368)-O371</f>
        <v>25</v>
      </c>
      <c r="O371" t="str">
        <f>RIGHT(E368,3)</f>
        <v>375</v>
      </c>
    </row>
    <row r="372" spans="1:16" ht="15.75" customHeight="1" x14ac:dyDescent="0.35">
      <c r="B372" s="20" t="s">
        <v>251</v>
      </c>
      <c r="C372" s="27">
        <v>0.2</v>
      </c>
      <c r="D372" s="27">
        <v>0.5</v>
      </c>
      <c r="E372" s="27"/>
      <c r="F372" s="27"/>
      <c r="G372" s="27"/>
      <c r="H372" s="27"/>
      <c r="I372" s="25"/>
      <c r="N372" t="str">
        <f xml:space="preserve">  N371 &amp; " degrees this time"</f>
        <v>25 degrees this time</v>
      </c>
    </row>
    <row r="373" spans="1:16" ht="15.75" customHeight="1" x14ac:dyDescent="0.35">
      <c r="B373" s="20" t="s">
        <v>252</v>
      </c>
      <c r="C373" s="27">
        <v>0.9</v>
      </c>
      <c r="D373" s="27">
        <v>0.8</v>
      </c>
      <c r="E373" s="27"/>
      <c r="F373" s="27"/>
      <c r="G373" s="27"/>
      <c r="H373" s="27"/>
      <c r="I373" s="27" t="s">
        <v>275</v>
      </c>
    </row>
    <row r="374" spans="1:16" ht="15.75" customHeight="1" x14ac:dyDescent="0.35">
      <c r="B374" s="20"/>
      <c r="D374" s="11"/>
      <c r="E374" s="11"/>
      <c r="F374" s="28"/>
    </row>
    <row r="375" spans="1:16" ht="15.75" customHeight="1" x14ac:dyDescent="0.35">
      <c r="C375" s="1"/>
      <c r="G375" s="1" t="s">
        <v>253</v>
      </c>
      <c r="K375" s="12"/>
      <c r="L375" s="9"/>
      <c r="M375" s="9"/>
    </row>
    <row r="376" spans="1:16" ht="15.75" customHeight="1" x14ac:dyDescent="0.35">
      <c r="B376" s="20"/>
      <c r="G376" s="1"/>
      <c r="H376" s="1"/>
      <c r="K376" s="9"/>
      <c r="L376" s="9"/>
      <c r="M376" s="9"/>
    </row>
    <row r="377" spans="1:16" ht="15.75" customHeight="1" x14ac:dyDescent="0.35">
      <c r="B377" s="20"/>
      <c r="G377" s="1"/>
      <c r="H377" s="1"/>
      <c r="K377" s="9" t="s">
        <v>254</v>
      </c>
      <c r="L377" s="9"/>
      <c r="M377" s="9"/>
    </row>
    <row r="378" spans="1:16" ht="15.75" customHeight="1" x14ac:dyDescent="0.35">
      <c r="B378" s="9"/>
      <c r="C378" s="9"/>
      <c r="D378" s="9"/>
      <c r="E378" s="9"/>
      <c r="F378" s="12"/>
      <c r="G378" s="12"/>
      <c r="H378" s="12"/>
      <c r="I378" s="12"/>
      <c r="J378" s="12"/>
      <c r="K378" s="12"/>
      <c r="L378" s="1"/>
    </row>
    <row r="379" spans="1:16" ht="15.75" customHeight="1" x14ac:dyDescent="0.35">
      <c r="B379" s="13"/>
      <c r="C379" s="13"/>
      <c r="D379" s="15"/>
      <c r="F379" s="33" t="s">
        <v>282</v>
      </c>
      <c r="H379" s="14" t="s">
        <v>255</v>
      </c>
      <c r="I379" s="14"/>
    </row>
    <row r="380" spans="1:16" x14ac:dyDescent="0.35">
      <c r="B380" s="13" t="s">
        <v>5</v>
      </c>
      <c r="C380" s="13" t="s">
        <v>1</v>
      </c>
      <c r="D380" s="15" t="str">
        <f>VLOOKUP(A381,Inventory!$A$4:$K$1139,7)</f>
        <v xml:space="preserve">Sweet Marias                       </v>
      </c>
      <c r="F380" s="13" t="s">
        <v>235</v>
      </c>
      <c r="G380" s="16"/>
      <c r="H380" s="14" t="s">
        <v>256</v>
      </c>
      <c r="K380" s="12" t="s">
        <v>334</v>
      </c>
      <c r="L380" s="9"/>
      <c r="M380" s="9"/>
    </row>
    <row r="381" spans="1:16" x14ac:dyDescent="0.35">
      <c r="A381">
        <v>171</v>
      </c>
      <c r="B381" s="5">
        <v>45212</v>
      </c>
      <c r="C381" s="15" t="str">
        <f>VLOOKUP(A381,Inventory!$A$4:$K$1139,2)</f>
        <v>Ethiopia Gera-Goma SWP Decaf 2021</v>
      </c>
      <c r="F381" s="18" t="s">
        <v>257</v>
      </c>
      <c r="G381" s="2" t="s">
        <v>238</v>
      </c>
      <c r="P381" s="8"/>
    </row>
    <row r="382" spans="1:16" x14ac:dyDescent="0.35">
      <c r="H382" s="2" t="s">
        <v>258</v>
      </c>
    </row>
    <row r="383" spans="1:16" x14ac:dyDescent="0.35">
      <c r="C383" s="11" t="s">
        <v>240</v>
      </c>
      <c r="D383" s="11" t="s">
        <v>241</v>
      </c>
      <c r="E383" s="11">
        <v>368</v>
      </c>
      <c r="F383" s="11">
        <v>374</v>
      </c>
      <c r="G383" s="11">
        <v>379</v>
      </c>
      <c r="H383" s="11">
        <v>384</v>
      </c>
      <c r="I383" s="11">
        <v>392</v>
      </c>
      <c r="J383" s="11"/>
      <c r="K383" s="11"/>
      <c r="L383" s="11"/>
    </row>
    <row r="384" spans="1:16" ht="15.75" customHeight="1" x14ac:dyDescent="0.35">
      <c r="B384" s="20" t="s">
        <v>242</v>
      </c>
      <c r="C384" s="21"/>
      <c r="D384" s="22" t="s">
        <v>294</v>
      </c>
      <c r="E384" s="23" t="s">
        <v>244</v>
      </c>
      <c r="F384" s="23" t="s">
        <v>245</v>
      </c>
      <c r="G384" s="23" t="s">
        <v>246</v>
      </c>
      <c r="H384" s="23" t="s">
        <v>247</v>
      </c>
      <c r="I384" s="23" t="s">
        <v>259</v>
      </c>
      <c r="J384" s="23" t="s">
        <v>260</v>
      </c>
      <c r="K384" s="23" t="s">
        <v>261</v>
      </c>
      <c r="O384" s="4"/>
    </row>
    <row r="385" spans="1:16" ht="1" customHeight="1" x14ac:dyDescent="0.35">
      <c r="B385" s="24" t="s">
        <v>249</v>
      </c>
      <c r="C385" s="25">
        <v>320</v>
      </c>
      <c r="D385" s="25">
        <v>350</v>
      </c>
      <c r="E385" s="25">
        <v>377</v>
      </c>
      <c r="F385" s="25">
        <v>384</v>
      </c>
      <c r="G385" s="25">
        <v>388</v>
      </c>
      <c r="H385" s="25">
        <v>392</v>
      </c>
      <c r="I385" s="25">
        <v>395</v>
      </c>
      <c r="J385" s="25">
        <v>415</v>
      </c>
      <c r="K385" s="25">
        <v>415</v>
      </c>
      <c r="O385" t="e">
        <f>(O383-3*O382)/O384</f>
        <v>#DIV/0!</v>
      </c>
    </row>
    <row r="386" spans="1:16" ht="15.75" customHeight="1" x14ac:dyDescent="0.35">
      <c r="B386" s="20" t="s">
        <v>250</v>
      </c>
      <c r="C386" s="26">
        <v>0.24305555555555555</v>
      </c>
      <c r="D386" s="26">
        <v>0.3263888888888889</v>
      </c>
      <c r="E386" s="26">
        <v>0.43402777777777773</v>
      </c>
      <c r="F386" s="26">
        <f>E386+'Lookup Tables'!$N$1</f>
        <v>0.45486111111111105</v>
      </c>
      <c r="G386" s="26">
        <f>F386+'Lookup Tables'!$N$1</f>
        <v>0.47569444444444436</v>
      </c>
      <c r="H386" s="26">
        <f>G386+'Lookup Tables'!$N$1</f>
        <v>0.49652777777777768</v>
      </c>
      <c r="I386" s="26">
        <f>H386+'Lookup Tables'!$N$1</f>
        <v>0.51736111111111105</v>
      </c>
      <c r="J386" s="26">
        <f>I386+'Lookup Tables'!$M$1</f>
        <v>0.52777777777777768</v>
      </c>
      <c r="K386" s="26">
        <f>J386+'Lookup Tables'!$M$1</f>
        <v>0.53819444444444431</v>
      </c>
      <c r="N386">
        <f>MAX(F383:M383)-O386</f>
        <v>24</v>
      </c>
      <c r="O386" t="str">
        <f>RIGHT(E383,3)</f>
        <v>368</v>
      </c>
    </row>
    <row r="387" spans="1:16" ht="15.75" customHeight="1" x14ac:dyDescent="0.35">
      <c r="B387" s="20" t="s">
        <v>251</v>
      </c>
      <c r="C387" s="27">
        <v>0.2</v>
      </c>
      <c r="D387" s="27">
        <v>0.5</v>
      </c>
      <c r="E387" s="27"/>
      <c r="F387" s="27"/>
      <c r="G387" s="27"/>
      <c r="H387" s="27"/>
      <c r="I387" s="27"/>
      <c r="J387" s="27"/>
      <c r="K387" s="25"/>
      <c r="N387" t="str">
        <f xml:space="preserve">  N386 &amp; " degrees this time"</f>
        <v>24 degrees this time</v>
      </c>
    </row>
    <row r="388" spans="1:16" ht="15.75" customHeight="1" x14ac:dyDescent="0.35">
      <c r="B388" s="20" t="s">
        <v>252</v>
      </c>
      <c r="C388" s="27">
        <v>0.9</v>
      </c>
      <c r="D388" s="27">
        <v>0.7</v>
      </c>
      <c r="E388" s="27">
        <v>0.6</v>
      </c>
      <c r="F388" s="27"/>
      <c r="G388" s="27"/>
      <c r="H388" s="27"/>
      <c r="I388" s="27"/>
      <c r="J388" s="27"/>
      <c r="K388" s="27"/>
    </row>
    <row r="389" spans="1:16" ht="15.75" customHeight="1" x14ac:dyDescent="0.35">
      <c r="B389" s="20"/>
      <c r="D389" s="11"/>
      <c r="E389" s="11"/>
      <c r="F389" s="28"/>
      <c r="H389" s="1"/>
    </row>
    <row r="390" spans="1:16" ht="15.75" customHeight="1" x14ac:dyDescent="0.35">
      <c r="B390" s="1" t="s">
        <v>262</v>
      </c>
      <c r="F390" t="s">
        <v>263</v>
      </c>
      <c r="G390" s="1"/>
      <c r="K390" s="12"/>
      <c r="L390" s="9"/>
      <c r="M390" s="9"/>
    </row>
    <row r="391" spans="1:16" ht="15.75" customHeight="1" x14ac:dyDescent="0.35">
      <c r="B391" s="20" t="s">
        <v>264</v>
      </c>
      <c r="D391" s="29"/>
      <c r="F391" t="s">
        <v>265</v>
      </c>
      <c r="G391" s="1"/>
      <c r="H391" s="1"/>
      <c r="K391" s="9" t="s">
        <v>266</v>
      </c>
      <c r="L391" s="9"/>
      <c r="M391" s="9"/>
    </row>
    <row r="392" spans="1:16" ht="15.75" customHeight="1" x14ac:dyDescent="0.35">
      <c r="B392" s="20" t="s">
        <v>267</v>
      </c>
      <c r="F392" t="s">
        <v>268</v>
      </c>
      <c r="G392" s="1"/>
      <c r="H392" s="1"/>
      <c r="K392" s="9" t="s">
        <v>254</v>
      </c>
      <c r="L392" s="9"/>
      <c r="M392" s="9"/>
    </row>
    <row r="393" spans="1:16" ht="15.75" customHeight="1" x14ac:dyDescent="0.35">
      <c r="B393" s="9"/>
      <c r="C393" s="9"/>
      <c r="D393" s="9"/>
      <c r="E393" s="9"/>
      <c r="F393" s="12"/>
      <c r="G393" s="12"/>
      <c r="H393" s="12"/>
      <c r="I393" s="12"/>
      <c r="J393" s="12"/>
      <c r="K393" s="12"/>
      <c r="L393" s="1"/>
    </row>
    <row r="394" spans="1:16" ht="15.75" customHeight="1" x14ac:dyDescent="0.35">
      <c r="B394" s="13"/>
      <c r="C394" s="13"/>
      <c r="D394" s="13"/>
      <c r="E394" s="13"/>
      <c r="G394" s="13"/>
      <c r="H394" s="14" t="s">
        <v>255</v>
      </c>
      <c r="I394" s="13"/>
    </row>
    <row r="395" spans="1:16" x14ac:dyDescent="0.35">
      <c r="B395" s="13" t="s">
        <v>5</v>
      </c>
      <c r="C395" s="13" t="s">
        <v>1</v>
      </c>
      <c r="D395" s="15" t="str">
        <f>VLOOKUP(A396,Inventory!$A$4:$K$1139,7)</f>
        <v xml:space="preserve">Klatch                             </v>
      </c>
      <c r="F395" s="13" t="s">
        <v>235</v>
      </c>
      <c r="G395" s="16"/>
      <c r="J395" s="2" t="s">
        <v>256</v>
      </c>
      <c r="L395" s="17"/>
      <c r="M395" s="17"/>
    </row>
    <row r="396" spans="1:16" x14ac:dyDescent="0.35">
      <c r="A396">
        <v>166</v>
      </c>
      <c r="B396" s="5">
        <v>45207</v>
      </c>
      <c r="C396" s="15" t="str">
        <f>VLOOKUP(A396,Inventory!$A$4:$K$1139,2)</f>
        <v>Panama Elida Natural 2020</v>
      </c>
      <c r="F396" s="31" t="s">
        <v>291</v>
      </c>
      <c r="G396" s="2" t="s">
        <v>270</v>
      </c>
      <c r="L396" s="17"/>
      <c r="M396" s="17"/>
      <c r="P396" s="8"/>
    </row>
    <row r="397" spans="1:16" x14ac:dyDescent="0.35">
      <c r="F397" s="13"/>
      <c r="G397" s="16"/>
      <c r="L397" s="19"/>
      <c r="M397" s="19"/>
    </row>
    <row r="398" spans="1:16" x14ac:dyDescent="0.35">
      <c r="B398" s="20"/>
      <c r="C398" s="11" t="s">
        <v>240</v>
      </c>
      <c r="D398" s="11" t="s">
        <v>272</v>
      </c>
      <c r="E398" s="11">
        <v>368</v>
      </c>
      <c r="F398" s="11">
        <v>377</v>
      </c>
      <c r="G398" s="11">
        <v>383</v>
      </c>
      <c r="H398" s="11">
        <v>386</v>
      </c>
      <c r="I398" s="11"/>
      <c r="J398" s="11"/>
      <c r="K398" s="28"/>
      <c r="L398" s="28"/>
    </row>
    <row r="399" spans="1:16" ht="15.75" customHeight="1" x14ac:dyDescent="0.35">
      <c r="B399" s="20" t="s">
        <v>242</v>
      </c>
      <c r="C399" s="30"/>
      <c r="D399" s="30"/>
      <c r="E399" s="23" t="s">
        <v>244</v>
      </c>
      <c r="F399" s="23" t="s">
        <v>245</v>
      </c>
      <c r="G399" s="23" t="s">
        <v>246</v>
      </c>
      <c r="H399" s="23" t="s">
        <v>273</v>
      </c>
      <c r="O399" s="4"/>
    </row>
    <row r="400" spans="1:16" ht="1" customHeight="1" x14ac:dyDescent="0.35">
      <c r="B400" s="24" t="s">
        <v>249</v>
      </c>
      <c r="C400" s="25"/>
      <c r="D400" s="25"/>
      <c r="E400" s="25"/>
      <c r="F400" s="25"/>
      <c r="G400" s="25"/>
      <c r="H400" s="25"/>
      <c r="O400" t="e">
        <f>(O398-3*O397)/O399</f>
        <v>#DIV/0!</v>
      </c>
    </row>
    <row r="401" spans="1:16" ht="15.75" customHeight="1" x14ac:dyDescent="0.35">
      <c r="B401" s="20" t="s">
        <v>250</v>
      </c>
      <c r="C401" s="26">
        <v>0.21527777777777779</v>
      </c>
      <c r="D401" s="26">
        <v>0.30902777777777779</v>
      </c>
      <c r="E401" s="26">
        <v>0.38194444444444442</v>
      </c>
      <c r="F401" s="26">
        <f>E401+'Lookup Tables'!$N$1</f>
        <v>0.40277777777777773</v>
      </c>
      <c r="G401" s="26">
        <f>F401+'Lookup Tables'!$N$1</f>
        <v>0.42361111111111105</v>
      </c>
      <c r="H401" s="26">
        <f>G401+'Lookup Tables'!$S$1</f>
        <v>0.43402777777777773</v>
      </c>
      <c r="N401">
        <f>MAX(F398:M398)-O401</f>
        <v>18</v>
      </c>
      <c r="O401" t="str">
        <f>RIGHT(E398,3)</f>
        <v>368</v>
      </c>
    </row>
    <row r="402" spans="1:16" ht="15.75" customHeight="1" x14ac:dyDescent="0.35">
      <c r="B402" s="20" t="s">
        <v>251</v>
      </c>
      <c r="C402" s="27">
        <v>0.2</v>
      </c>
      <c r="D402" s="27">
        <v>0.5</v>
      </c>
      <c r="E402" s="27">
        <v>0.5</v>
      </c>
      <c r="F402" s="27" t="s">
        <v>274</v>
      </c>
      <c r="G402" s="27"/>
      <c r="H402" s="25"/>
      <c r="N402" t="str">
        <f xml:space="preserve">  N401 &amp; " degrees this time"</f>
        <v>18 degrees this time</v>
      </c>
    </row>
    <row r="403" spans="1:16" ht="15.75" customHeight="1" x14ac:dyDescent="0.35">
      <c r="B403" s="20" t="s">
        <v>252</v>
      </c>
      <c r="C403" s="27">
        <v>0.9</v>
      </c>
      <c r="D403" s="27">
        <v>0.7</v>
      </c>
      <c r="E403" s="27">
        <v>0.6</v>
      </c>
      <c r="F403" s="27" t="s">
        <v>274</v>
      </c>
      <c r="G403" s="27"/>
      <c r="H403" s="27" t="s">
        <v>275</v>
      </c>
    </row>
    <row r="404" spans="1:16" ht="15.75" customHeight="1" x14ac:dyDescent="0.35">
      <c r="B404" s="20"/>
      <c r="D404" s="11"/>
      <c r="E404" s="11"/>
      <c r="F404" s="11"/>
    </row>
    <row r="405" spans="1:16" ht="15.75" customHeight="1" x14ac:dyDescent="0.35">
      <c r="B405" s="20"/>
      <c r="C405" s="30"/>
      <c r="D405" s="11"/>
      <c r="E405" s="11"/>
      <c r="F405" s="11"/>
      <c r="G405" s="1" t="s">
        <v>276</v>
      </c>
      <c r="K405" s="32"/>
      <c r="L405" s="9"/>
      <c r="M405" s="9"/>
    </row>
    <row r="406" spans="1:16" ht="15.75" customHeight="1" x14ac:dyDescent="0.35">
      <c r="B406" s="20"/>
      <c r="G406" s="1"/>
      <c r="H406" s="1"/>
      <c r="K406" s="9"/>
      <c r="L406" s="9"/>
      <c r="M406" s="9"/>
    </row>
    <row r="407" spans="1:16" ht="15.75" customHeight="1" x14ac:dyDescent="0.35">
      <c r="B407" s="20"/>
      <c r="G407" s="1"/>
      <c r="H407" s="1"/>
      <c r="K407" s="32" t="s">
        <v>277</v>
      </c>
      <c r="L407" s="9"/>
      <c r="M407" s="9"/>
    </row>
    <row r="408" spans="1:16" ht="15.75" customHeight="1" x14ac:dyDescent="0.35">
      <c r="B408" s="9"/>
      <c r="C408" s="9"/>
      <c r="D408" s="9"/>
      <c r="E408" s="9"/>
      <c r="F408" s="12"/>
      <c r="G408" s="12"/>
      <c r="H408" s="12"/>
      <c r="I408" s="12"/>
      <c r="J408" s="12"/>
      <c r="K408" s="12"/>
      <c r="L408" s="1"/>
    </row>
    <row r="409" spans="1:16" ht="15.75" customHeight="1" x14ac:dyDescent="0.35">
      <c r="B409" s="13"/>
      <c r="C409" s="13"/>
      <c r="D409" s="15"/>
      <c r="E409" s="15"/>
      <c r="F409" s="15"/>
      <c r="G409" s="16"/>
      <c r="H409" s="14" t="s">
        <v>255</v>
      </c>
      <c r="I409" s="14"/>
    </row>
    <row r="410" spans="1:16" x14ac:dyDescent="0.35">
      <c r="B410" s="13" t="s">
        <v>5</v>
      </c>
      <c r="C410" s="13" t="s">
        <v>1</v>
      </c>
      <c r="D410" s="15" t="str">
        <f>VLOOKUP(A411,Inventory!$A$4:$K$1139,7)</f>
        <v xml:space="preserve">Sweet Marias                       </v>
      </c>
      <c r="F410" s="13" t="s">
        <v>235</v>
      </c>
      <c r="G410" s="16"/>
      <c r="H410" s="14"/>
      <c r="L410" s="17"/>
      <c r="M410" s="17"/>
    </row>
    <row r="411" spans="1:16" x14ac:dyDescent="0.35">
      <c r="A411">
        <v>169</v>
      </c>
      <c r="B411" s="5">
        <v>45207</v>
      </c>
      <c r="C411" s="15" t="str">
        <f>VLOOKUP(A411,Inventory!$A$4:$K$1139,2)</f>
        <v>Yemen Mokha Matari 2021</v>
      </c>
      <c r="F411" s="31" t="s">
        <v>291</v>
      </c>
      <c r="G411" s="2" t="s">
        <v>286</v>
      </c>
      <c r="L411" s="17"/>
      <c r="M411" s="17"/>
      <c r="P411" s="8"/>
    </row>
    <row r="412" spans="1:16" x14ac:dyDescent="0.35">
      <c r="B412" t="s">
        <v>16</v>
      </c>
      <c r="G412" s="16"/>
      <c r="L412" s="19"/>
      <c r="M412" s="19"/>
    </row>
    <row r="413" spans="1:16" x14ac:dyDescent="0.35">
      <c r="B413" s="20"/>
      <c r="C413" s="11" t="s">
        <v>240</v>
      </c>
      <c r="D413" s="11" t="s">
        <v>272</v>
      </c>
      <c r="E413" s="11">
        <v>372</v>
      </c>
      <c r="F413" s="11">
        <v>379</v>
      </c>
      <c r="G413" s="11">
        <v>388</v>
      </c>
      <c r="H413" s="11">
        <v>393</v>
      </c>
      <c r="I413" s="11">
        <v>394</v>
      </c>
      <c r="J413" s="11" t="s">
        <v>335</v>
      </c>
      <c r="K413" s="11"/>
      <c r="L413" s="28"/>
    </row>
    <row r="414" spans="1:16" ht="15.75" customHeight="1" x14ac:dyDescent="0.35">
      <c r="B414" s="20" t="s">
        <v>242</v>
      </c>
      <c r="C414" s="21"/>
      <c r="D414" s="22" t="s">
        <v>294</v>
      </c>
      <c r="E414" s="23" t="s">
        <v>244</v>
      </c>
      <c r="F414" s="23" t="s">
        <v>245</v>
      </c>
      <c r="G414" s="23" t="s">
        <v>246</v>
      </c>
      <c r="H414" s="23" t="s">
        <v>273</v>
      </c>
      <c r="I414" s="23" t="s">
        <v>247</v>
      </c>
      <c r="O414" s="4"/>
    </row>
    <row r="415" spans="1:16" ht="1" customHeight="1" x14ac:dyDescent="0.35">
      <c r="B415" s="24" t="s">
        <v>249</v>
      </c>
      <c r="C415" s="25">
        <v>320</v>
      </c>
      <c r="D415" s="25">
        <v>350</v>
      </c>
      <c r="E415" s="25"/>
      <c r="F415" s="25"/>
      <c r="G415" s="25"/>
      <c r="H415" s="23" t="s">
        <v>247</v>
      </c>
      <c r="I415" s="25"/>
      <c r="O415" t="e">
        <f>(O413-3*O412)/O414</f>
        <v>#DIV/0!</v>
      </c>
    </row>
    <row r="416" spans="1:16" ht="15.75" customHeight="1" x14ac:dyDescent="0.35">
      <c r="B416" s="20" t="s">
        <v>250</v>
      </c>
      <c r="C416" s="26">
        <v>0.20833333333333334</v>
      </c>
      <c r="D416" s="26">
        <v>0.30555555555555552</v>
      </c>
      <c r="E416" s="26">
        <v>0.3888888888888889</v>
      </c>
      <c r="F416" s="26">
        <f>E416+'Lookup Tables'!$N$1</f>
        <v>0.40972222222222221</v>
      </c>
      <c r="G416" s="26">
        <f>F416+'Lookup Tables'!$N$1</f>
        <v>0.43055555555555552</v>
      </c>
      <c r="H416" s="26">
        <f>G416+'Lookup Tables'!$S$1</f>
        <v>0.44097222222222221</v>
      </c>
      <c r="I416" s="26">
        <f>H416+'Lookup Tables'!$S$1</f>
        <v>0.4513888888888889</v>
      </c>
      <c r="J416" s="11"/>
      <c r="K416" s="11"/>
      <c r="N416">
        <f>MAX(F413:M413)-O416</f>
        <v>22</v>
      </c>
      <c r="O416" t="str">
        <f>RIGHT(E413,3)</f>
        <v>372</v>
      </c>
    </row>
    <row r="417" spans="1:16" ht="15.75" customHeight="1" x14ac:dyDescent="0.35">
      <c r="B417" s="20" t="s">
        <v>251</v>
      </c>
      <c r="C417" s="27">
        <v>0.2</v>
      </c>
      <c r="D417" s="27">
        <v>0.5</v>
      </c>
      <c r="E417" s="27"/>
      <c r="F417" s="27"/>
      <c r="G417" s="27">
        <v>0.25</v>
      </c>
      <c r="H417" s="27"/>
      <c r="I417" s="27"/>
      <c r="N417" t="str">
        <f xml:space="preserve">  N416 &amp; " degrees this time"</f>
        <v>22 degrees this time</v>
      </c>
    </row>
    <row r="418" spans="1:16" ht="15.75" customHeight="1" x14ac:dyDescent="0.35">
      <c r="B418" s="20" t="s">
        <v>252</v>
      </c>
      <c r="C418" s="27">
        <v>0.9</v>
      </c>
      <c r="D418" s="27">
        <v>0.7</v>
      </c>
      <c r="E418" s="27">
        <v>0.7</v>
      </c>
      <c r="F418" s="27">
        <v>0.5</v>
      </c>
      <c r="G418" s="27"/>
      <c r="H418" s="27" t="s">
        <v>275</v>
      </c>
      <c r="I418" s="27" t="s">
        <v>275</v>
      </c>
    </row>
    <row r="419" spans="1:16" ht="15.75" customHeight="1" x14ac:dyDescent="0.35">
      <c r="B419" s="20"/>
      <c r="D419" s="11"/>
      <c r="E419" s="40"/>
      <c r="F419" s="11"/>
      <c r="G419" s="11"/>
      <c r="K419" s="32" t="s">
        <v>314</v>
      </c>
      <c r="L419" s="9"/>
      <c r="M419" s="9"/>
    </row>
    <row r="420" spans="1:16" ht="15.75" customHeight="1" x14ac:dyDescent="0.35">
      <c r="B420" s="38"/>
      <c r="D420" s="15"/>
      <c r="F420" s="13"/>
      <c r="G420" s="1" t="s">
        <v>296</v>
      </c>
      <c r="K420" s="32"/>
      <c r="L420" s="9"/>
      <c r="M420" s="9"/>
    </row>
    <row r="421" spans="1:16" ht="15.75" customHeight="1" x14ac:dyDescent="0.35">
      <c r="B421" s="20"/>
      <c r="G421" s="1"/>
      <c r="H421" s="1"/>
      <c r="K421" s="9"/>
      <c r="L421" s="9"/>
      <c r="M421" s="9"/>
    </row>
    <row r="422" spans="1:16" ht="15.75" customHeight="1" x14ac:dyDescent="0.35">
      <c r="B422" s="20"/>
      <c r="G422" s="1"/>
      <c r="H422" s="1"/>
      <c r="K422" s="9" t="s">
        <v>297</v>
      </c>
      <c r="L422" s="9"/>
      <c r="M422" s="9"/>
    </row>
    <row r="423" spans="1:16" ht="15.75" customHeight="1" x14ac:dyDescent="0.35">
      <c r="B423" s="9"/>
      <c r="C423" s="9"/>
      <c r="D423" s="9"/>
      <c r="E423" s="9"/>
      <c r="F423" s="12"/>
      <c r="G423" s="12"/>
      <c r="H423" s="12"/>
      <c r="I423" s="12"/>
      <c r="J423" s="12"/>
      <c r="K423" s="12"/>
      <c r="L423" s="1"/>
    </row>
    <row r="424" spans="1:16" ht="15.75" customHeight="1" x14ac:dyDescent="0.35">
      <c r="B424" s="13"/>
      <c r="C424" s="13"/>
      <c r="D424" s="13"/>
      <c r="E424" s="13"/>
      <c r="G424" s="13"/>
      <c r="H424" s="14" t="s">
        <v>255</v>
      </c>
      <c r="I424" s="13"/>
    </row>
    <row r="425" spans="1:16" x14ac:dyDescent="0.35">
      <c r="B425" s="13" t="s">
        <v>5</v>
      </c>
      <c r="C425" s="13" t="s">
        <v>1</v>
      </c>
      <c r="D425" s="15" t="str">
        <f>VLOOKUP(A426,Inventory!$A$4:$K$1139,7)</f>
        <v xml:space="preserve">Klatch                             </v>
      </c>
      <c r="F425" s="13" t="s">
        <v>235</v>
      </c>
      <c r="G425" s="16"/>
      <c r="J425" s="2"/>
      <c r="L425" s="17"/>
      <c r="M425" s="17"/>
    </row>
    <row r="426" spans="1:16" x14ac:dyDescent="0.35">
      <c r="A426">
        <v>166</v>
      </c>
      <c r="B426" s="5">
        <v>45207</v>
      </c>
      <c r="C426" s="15" t="str">
        <f>VLOOKUP(A426,Inventory!$A$4:$K$1139,2)</f>
        <v>Panama Elida Natural 2020</v>
      </c>
      <c r="F426" s="31" t="s">
        <v>315</v>
      </c>
      <c r="G426" s="2" t="s">
        <v>270</v>
      </c>
      <c r="L426" s="17"/>
      <c r="M426" s="17"/>
      <c r="P426" s="8"/>
    </row>
    <row r="427" spans="1:16" x14ac:dyDescent="0.35">
      <c r="F427" s="31" t="s">
        <v>271</v>
      </c>
      <c r="G427" s="16"/>
      <c r="L427" s="19"/>
      <c r="M427" s="19"/>
    </row>
    <row r="428" spans="1:16" x14ac:dyDescent="0.35">
      <c r="B428" s="20"/>
      <c r="C428" s="11" t="s">
        <v>240</v>
      </c>
      <c r="D428" s="11" t="s">
        <v>272</v>
      </c>
      <c r="E428" s="11">
        <v>366</v>
      </c>
      <c r="F428" s="11">
        <v>374</v>
      </c>
      <c r="G428" s="11">
        <v>381</v>
      </c>
      <c r="H428" s="11">
        <v>383</v>
      </c>
      <c r="I428" s="11" t="s">
        <v>310</v>
      </c>
      <c r="J428" s="11"/>
      <c r="K428" s="28"/>
      <c r="L428" s="28"/>
    </row>
    <row r="429" spans="1:16" ht="15.75" customHeight="1" x14ac:dyDescent="0.35">
      <c r="B429" s="20" t="s">
        <v>242</v>
      </c>
      <c r="C429" s="30"/>
      <c r="D429" s="30"/>
      <c r="E429" s="23" t="s">
        <v>244</v>
      </c>
      <c r="F429" s="23" t="s">
        <v>245</v>
      </c>
      <c r="G429" s="23" t="s">
        <v>246</v>
      </c>
      <c r="H429" s="23" t="s">
        <v>273</v>
      </c>
      <c r="O429" s="4"/>
    </row>
    <row r="430" spans="1:16" ht="1" customHeight="1" x14ac:dyDescent="0.35">
      <c r="B430" s="24" t="s">
        <v>249</v>
      </c>
      <c r="C430" s="25"/>
      <c r="D430" s="25"/>
      <c r="E430" s="25"/>
      <c r="F430" s="25"/>
      <c r="G430" s="25"/>
      <c r="H430" s="25"/>
      <c r="O430" t="e">
        <f>(O428-3*O427)/O429</f>
        <v>#DIV/0!</v>
      </c>
    </row>
    <row r="431" spans="1:16" ht="15.75" customHeight="1" x14ac:dyDescent="0.35">
      <c r="B431" s="20" t="s">
        <v>250</v>
      </c>
      <c r="C431" s="26">
        <v>0.23958333333333334</v>
      </c>
      <c r="D431" s="26">
        <v>0.33333333333333331</v>
      </c>
      <c r="E431" s="26">
        <v>0.40625</v>
      </c>
      <c r="F431" s="26">
        <f>E431+'Lookup Tables'!$N$1</f>
        <v>0.42708333333333331</v>
      </c>
      <c r="G431" s="26">
        <f>F431+'Lookup Tables'!$N$1</f>
        <v>0.44791666666666663</v>
      </c>
      <c r="H431" s="26">
        <f>G431+'Lookup Tables'!$S$1</f>
        <v>0.45833333333333331</v>
      </c>
      <c r="N431">
        <f>MAX(F428:M428)-O431</f>
        <v>17</v>
      </c>
      <c r="O431" t="str">
        <f>RIGHT(E428,3)</f>
        <v>366</v>
      </c>
    </row>
    <row r="432" spans="1:16" ht="15.75" customHeight="1" x14ac:dyDescent="0.35">
      <c r="B432" s="20" t="s">
        <v>251</v>
      </c>
      <c r="C432" s="27">
        <v>0.2</v>
      </c>
      <c r="D432" s="27">
        <v>0.5</v>
      </c>
      <c r="E432" s="27">
        <v>0.5</v>
      </c>
      <c r="F432" s="27" t="s">
        <v>274</v>
      </c>
      <c r="G432" s="27"/>
      <c r="H432" s="25"/>
      <c r="N432" t="str">
        <f xml:space="preserve">  N431 &amp; " degrees this time"</f>
        <v>17 degrees this time</v>
      </c>
    </row>
    <row r="433" spans="1:16" ht="15.75" customHeight="1" x14ac:dyDescent="0.35">
      <c r="B433" s="20" t="s">
        <v>252</v>
      </c>
      <c r="C433" s="27">
        <v>0.9</v>
      </c>
      <c r="D433" s="27">
        <v>0.7</v>
      </c>
      <c r="E433" s="27">
        <v>0.6</v>
      </c>
      <c r="F433" s="27" t="s">
        <v>274</v>
      </c>
      <c r="G433" s="27"/>
      <c r="H433" s="27" t="s">
        <v>275</v>
      </c>
      <c r="N433" s="2" t="s">
        <v>336</v>
      </c>
    </row>
    <row r="434" spans="1:16" ht="15.75" customHeight="1" x14ac:dyDescent="0.35">
      <c r="B434" s="20"/>
      <c r="D434" s="11"/>
      <c r="E434" s="11"/>
      <c r="F434" s="11"/>
      <c r="N434" s="2" t="s">
        <v>337</v>
      </c>
    </row>
    <row r="435" spans="1:16" ht="15.75" customHeight="1" x14ac:dyDescent="0.35">
      <c r="B435" s="20"/>
      <c r="C435" s="30"/>
      <c r="D435" s="11"/>
      <c r="E435" s="11"/>
      <c r="F435" s="11"/>
      <c r="G435" s="1" t="s">
        <v>276</v>
      </c>
      <c r="K435" s="32"/>
      <c r="L435" s="9"/>
      <c r="M435" s="9"/>
      <c r="N435" s="41" t="s">
        <v>338</v>
      </c>
    </row>
    <row r="436" spans="1:16" ht="15.75" customHeight="1" x14ac:dyDescent="0.35">
      <c r="B436" s="20"/>
      <c r="G436" s="1"/>
      <c r="H436" s="1"/>
      <c r="K436" s="9"/>
      <c r="L436" s="9"/>
      <c r="M436" s="9"/>
      <c r="N436" s="41" t="s">
        <v>339</v>
      </c>
    </row>
    <row r="437" spans="1:16" ht="15.75" customHeight="1" x14ac:dyDescent="0.35">
      <c r="B437" s="20"/>
      <c r="G437" s="1"/>
      <c r="H437" s="1"/>
      <c r="K437" s="32" t="s">
        <v>277</v>
      </c>
      <c r="L437" s="9"/>
      <c r="M437" s="9"/>
      <c r="N437" s="2" t="s">
        <v>340</v>
      </c>
    </row>
    <row r="438" spans="1:16" ht="15.75" customHeight="1" x14ac:dyDescent="0.35">
      <c r="B438" s="9"/>
      <c r="C438" s="9"/>
      <c r="D438" s="9"/>
      <c r="E438" s="9"/>
      <c r="F438" s="12"/>
      <c r="G438" s="12"/>
      <c r="H438" s="12"/>
      <c r="I438" s="12"/>
      <c r="J438" s="12"/>
      <c r="K438" s="12"/>
      <c r="L438" s="1"/>
      <c r="N438" s="2"/>
    </row>
    <row r="439" spans="1:16" ht="15.75" customHeight="1" x14ac:dyDescent="0.35">
      <c r="B439" s="13"/>
      <c r="C439" s="13"/>
      <c r="D439" s="15"/>
      <c r="F439" s="33" t="s">
        <v>341</v>
      </c>
      <c r="G439" s="16"/>
      <c r="H439" s="14"/>
    </row>
    <row r="440" spans="1:16" x14ac:dyDescent="0.35">
      <c r="B440" s="13" t="s">
        <v>5</v>
      </c>
      <c r="C440" s="13" t="s">
        <v>1</v>
      </c>
      <c r="D440" s="15" t="str">
        <f>VLOOKUP(A441,Inventory!$A$4:$K$1139,7)</f>
        <v>Leverhead Coffee</v>
      </c>
      <c r="F440" s="13" t="s">
        <v>235</v>
      </c>
      <c r="G440" s="16"/>
      <c r="H440" s="16"/>
      <c r="I440" s="16"/>
      <c r="J440" s="16"/>
      <c r="L440" s="17"/>
      <c r="M440" s="17"/>
    </row>
    <row r="441" spans="1:16" x14ac:dyDescent="0.35">
      <c r="A441">
        <v>159</v>
      </c>
      <c r="B441" s="5">
        <v>45207</v>
      </c>
      <c r="C441" s="15" t="str">
        <f>VLOOKUP(A441,Inventory!$A$4:$K$1139,2)</f>
        <v>Rwanda Abakundakawa 2020</v>
      </c>
      <c r="F441" s="34" t="s">
        <v>279</v>
      </c>
      <c r="G441" s="2" t="s">
        <v>270</v>
      </c>
      <c r="L441" s="17"/>
      <c r="M441" s="17"/>
      <c r="P441" s="8"/>
    </row>
    <row r="442" spans="1:16" x14ac:dyDescent="0.35">
      <c r="L442" s="19"/>
      <c r="M442" s="19"/>
    </row>
    <row r="443" spans="1:16" x14ac:dyDescent="0.35">
      <c r="B443" s="20"/>
      <c r="C443" s="11" t="s">
        <v>240</v>
      </c>
      <c r="D443" s="11" t="s">
        <v>241</v>
      </c>
      <c r="E443" s="11">
        <v>372</v>
      </c>
      <c r="F443" s="11">
        <v>380</v>
      </c>
      <c r="G443" s="11">
        <v>388</v>
      </c>
      <c r="H443" s="11">
        <v>398</v>
      </c>
      <c r="I443" s="11">
        <v>402</v>
      </c>
      <c r="J443" s="11"/>
      <c r="K443" s="11"/>
      <c r="L443" s="28"/>
    </row>
    <row r="444" spans="1:16" ht="15.75" customHeight="1" x14ac:dyDescent="0.35">
      <c r="A444" t="s">
        <v>16</v>
      </c>
      <c r="B444" s="20" t="s">
        <v>242</v>
      </c>
      <c r="C444" s="30"/>
      <c r="D444" s="30"/>
      <c r="E444" s="23" t="s">
        <v>244</v>
      </c>
      <c r="F444" s="23" t="s">
        <v>245</v>
      </c>
      <c r="G444" s="23" t="s">
        <v>246</v>
      </c>
      <c r="H444" s="23" t="s">
        <v>247</v>
      </c>
      <c r="I444" s="23" t="s">
        <v>248</v>
      </c>
      <c r="O444" s="4"/>
    </row>
    <row r="445" spans="1:16" ht="1" customHeight="1" x14ac:dyDescent="0.35">
      <c r="B445" s="24" t="s">
        <v>249</v>
      </c>
      <c r="C445" s="25"/>
      <c r="D445" s="25"/>
      <c r="E445" s="25">
        <v>388</v>
      </c>
      <c r="F445" s="25">
        <v>393</v>
      </c>
      <c r="G445" s="25">
        <v>397</v>
      </c>
      <c r="H445" s="25">
        <v>401</v>
      </c>
      <c r="I445" s="25"/>
      <c r="J445" t="s">
        <v>280</v>
      </c>
      <c r="K445" t="s">
        <v>280</v>
      </c>
      <c r="O445" t="e">
        <f>(O443-3*O442)/O444</f>
        <v>#DIV/0!</v>
      </c>
    </row>
    <row r="446" spans="1:16" ht="15.75" customHeight="1" x14ac:dyDescent="0.35">
      <c r="B446" s="20" t="s">
        <v>250</v>
      </c>
      <c r="C446" s="26">
        <v>0.22222222222222221</v>
      </c>
      <c r="D446" s="26">
        <v>0.2986111111111111</v>
      </c>
      <c r="E446" s="26">
        <v>0.3888888888888889</v>
      </c>
      <c r="F446" s="26">
        <f>E446+'Lookup Tables'!$N$1</f>
        <v>0.40972222222222221</v>
      </c>
      <c r="G446" s="26">
        <f>F446+'Lookup Tables'!$N$1</f>
        <v>0.43055555555555552</v>
      </c>
      <c r="H446" s="26">
        <f>G446+'Lookup Tables'!$N$1</f>
        <v>0.45138888888888884</v>
      </c>
      <c r="I446" s="26">
        <f>H446+'Lookup Tables'!$S$1</f>
        <v>0.46180555555555552</v>
      </c>
      <c r="N446">
        <f>MAX(F443:M443)-O446</f>
        <v>30</v>
      </c>
      <c r="O446" t="str">
        <f>RIGHT(E443,3)</f>
        <v>372</v>
      </c>
    </row>
    <row r="447" spans="1:16" ht="15.75" customHeight="1" x14ac:dyDescent="0.35">
      <c r="B447" s="20" t="s">
        <v>251</v>
      </c>
      <c r="C447" s="27">
        <v>0.2</v>
      </c>
      <c r="D447" s="27">
        <v>0.5</v>
      </c>
      <c r="E447" s="27"/>
      <c r="F447" s="27"/>
      <c r="G447" s="27"/>
      <c r="H447" s="27" t="s">
        <v>274</v>
      </c>
      <c r="I447" s="27"/>
      <c r="N447" t="str">
        <f xml:space="preserve">  N446 &amp; " degrees this time"</f>
        <v>30 degrees this time</v>
      </c>
    </row>
    <row r="448" spans="1:16" ht="15.75" customHeight="1" x14ac:dyDescent="0.35">
      <c r="B448" s="20" t="s">
        <v>252</v>
      </c>
      <c r="C448" s="27">
        <v>0.9</v>
      </c>
      <c r="D448" s="27">
        <v>0.8</v>
      </c>
      <c r="E448" s="27">
        <v>0.6</v>
      </c>
      <c r="F448" s="27">
        <v>0.5</v>
      </c>
      <c r="G448" s="27">
        <v>0.3</v>
      </c>
      <c r="H448" s="27" t="s">
        <v>274</v>
      </c>
      <c r="I448" s="27" t="s">
        <v>275</v>
      </c>
    </row>
    <row r="449" spans="1:16" ht="15.75" customHeight="1" x14ac:dyDescent="0.35">
      <c r="B449" s="20"/>
      <c r="C449" s="30"/>
      <c r="D449" s="11"/>
      <c r="E449" s="11"/>
      <c r="F449" s="11"/>
      <c r="H449" s="1"/>
      <c r="J449" s="35"/>
    </row>
    <row r="450" spans="1:16" ht="15.75" customHeight="1" x14ac:dyDescent="0.35">
      <c r="G450" s="1" t="s">
        <v>342</v>
      </c>
      <c r="K450" s="32" t="s">
        <v>343</v>
      </c>
      <c r="L450" s="9"/>
      <c r="M450" s="9"/>
    </row>
    <row r="451" spans="1:16" ht="15.75" customHeight="1" x14ac:dyDescent="0.35">
      <c r="B451" s="20"/>
      <c r="G451" s="1"/>
      <c r="H451" s="1"/>
      <c r="K451" s="32"/>
      <c r="L451" s="9"/>
      <c r="M451" s="9"/>
    </row>
    <row r="452" spans="1:16" ht="15.75" customHeight="1" x14ac:dyDescent="0.35">
      <c r="B452" s="20"/>
      <c r="G452" s="1"/>
      <c r="H452" s="1"/>
      <c r="K452" s="32" t="s">
        <v>254</v>
      </c>
      <c r="L452" s="9"/>
      <c r="M452" s="9"/>
    </row>
    <row r="453" spans="1:16" ht="15.75" customHeight="1" x14ac:dyDescent="0.35">
      <c r="B453" s="9"/>
      <c r="C453" s="9"/>
      <c r="D453" s="9"/>
      <c r="E453" s="9"/>
      <c r="F453" s="12"/>
      <c r="G453" s="12"/>
      <c r="H453" s="12"/>
      <c r="I453" s="12"/>
      <c r="J453" s="12"/>
      <c r="K453" s="12"/>
      <c r="L453" s="1"/>
    </row>
    <row r="454" spans="1:16" ht="15.75" customHeight="1" x14ac:dyDescent="0.35">
      <c r="B454" s="13"/>
      <c r="C454" s="13"/>
      <c r="D454" s="13"/>
      <c r="E454" s="13"/>
      <c r="F454" s="33" t="s">
        <v>341</v>
      </c>
      <c r="G454" s="13"/>
      <c r="I454" s="14"/>
    </row>
    <row r="455" spans="1:16" x14ac:dyDescent="0.35">
      <c r="B455" s="13" t="s">
        <v>5</v>
      </c>
      <c r="C455" s="13" t="s">
        <v>1</v>
      </c>
      <c r="D455" s="15" t="str">
        <f>VLOOKUP(A456,Inventory!$A$4:$K$1139,7)</f>
        <v xml:space="preserve">Klatch                             </v>
      </c>
      <c r="F455" s="13" t="s">
        <v>235</v>
      </c>
      <c r="G455" s="16"/>
      <c r="L455" s="17"/>
      <c r="M455" s="17"/>
    </row>
    <row r="456" spans="1:16" x14ac:dyDescent="0.35">
      <c r="A456">
        <v>162</v>
      </c>
      <c r="B456" s="5">
        <v>45207</v>
      </c>
      <c r="C456" s="15" t="str">
        <f>VLOOKUP(A456,Inventory!$A$4:$K$1139,2)</f>
        <v>El Salvador Las Mercedes Caturra 2020</v>
      </c>
      <c r="F456" s="34" t="s">
        <v>279</v>
      </c>
      <c r="G456" s="2" t="s">
        <v>270</v>
      </c>
      <c r="L456" s="17"/>
      <c r="M456" s="17"/>
      <c r="P456" s="8"/>
    </row>
    <row r="457" spans="1:16" x14ac:dyDescent="0.35">
      <c r="L457" s="19"/>
      <c r="M457" s="19"/>
    </row>
    <row r="458" spans="1:16" x14ac:dyDescent="0.35">
      <c r="B458" s="20"/>
      <c r="C458" s="11" t="s">
        <v>240</v>
      </c>
      <c r="D458" s="11" t="s">
        <v>272</v>
      </c>
      <c r="E458" s="11">
        <v>369</v>
      </c>
      <c r="F458" s="11">
        <v>378</v>
      </c>
      <c r="G458" s="11">
        <v>386</v>
      </c>
      <c r="H458" s="11">
        <v>394</v>
      </c>
      <c r="I458" s="11"/>
      <c r="J458" s="11"/>
      <c r="K458" s="11"/>
      <c r="L458" s="28"/>
    </row>
    <row r="459" spans="1:16" ht="15.75" customHeight="1" x14ac:dyDescent="0.35">
      <c r="B459" s="20" t="s">
        <v>242</v>
      </c>
      <c r="C459" s="21"/>
      <c r="D459" s="22" t="s">
        <v>294</v>
      </c>
      <c r="E459" s="23" t="s">
        <v>244</v>
      </c>
      <c r="F459" s="23" t="s">
        <v>245</v>
      </c>
      <c r="G459" s="23" t="s">
        <v>246</v>
      </c>
      <c r="H459" s="23" t="s">
        <v>247</v>
      </c>
      <c r="O459" s="4"/>
    </row>
    <row r="460" spans="1:16" ht="1" customHeight="1" x14ac:dyDescent="0.35">
      <c r="B460" s="24" t="s">
        <v>249</v>
      </c>
      <c r="C460" s="25"/>
      <c r="D460" s="25"/>
      <c r="E460" s="25">
        <v>384</v>
      </c>
      <c r="F460" s="25">
        <v>392</v>
      </c>
      <c r="G460" s="25">
        <v>395</v>
      </c>
      <c r="H460" s="25"/>
      <c r="O460" t="e">
        <f>(O458-3*O457)/O459</f>
        <v>#DIV/0!</v>
      </c>
    </row>
    <row r="461" spans="1:16" ht="15.75" customHeight="1" x14ac:dyDescent="0.35">
      <c r="B461" s="20" t="s">
        <v>250</v>
      </c>
      <c r="C461" s="26">
        <v>0.18055555555555555</v>
      </c>
      <c r="D461" s="26">
        <v>0.25347222222222221</v>
      </c>
      <c r="E461" s="26">
        <v>0.3263888888888889</v>
      </c>
      <c r="F461" s="26">
        <f>E461+'Lookup Tables'!$N$1</f>
        <v>0.34722222222222221</v>
      </c>
      <c r="G461" s="26">
        <f>F461+'Lookup Tables'!$N$1</f>
        <v>0.36805555555555552</v>
      </c>
      <c r="H461" s="26">
        <f>G461+'Lookup Tables'!$N$1</f>
        <v>0.38888888888888884</v>
      </c>
      <c r="N461">
        <f>MAX(F458:M458)-O461</f>
        <v>25</v>
      </c>
      <c r="O461" t="str">
        <f>RIGHT(E458,3)</f>
        <v>369</v>
      </c>
    </row>
    <row r="462" spans="1:16" ht="15.75" customHeight="1" x14ac:dyDescent="0.35">
      <c r="B462" s="20" t="s">
        <v>251</v>
      </c>
      <c r="C462" s="27">
        <v>0.2</v>
      </c>
      <c r="D462" s="27">
        <v>0.5</v>
      </c>
      <c r="E462" s="27"/>
      <c r="F462" s="27" t="s">
        <v>274</v>
      </c>
      <c r="G462" s="27"/>
      <c r="H462" s="27"/>
      <c r="N462" t="str">
        <f xml:space="preserve">  N461 &amp; " degrees this time"</f>
        <v>25 degrees this time</v>
      </c>
    </row>
    <row r="463" spans="1:16" ht="15.75" customHeight="1" x14ac:dyDescent="0.35">
      <c r="B463" s="20" t="s">
        <v>252</v>
      </c>
      <c r="C463" s="27">
        <v>0.9</v>
      </c>
      <c r="D463" s="27">
        <v>0.8</v>
      </c>
      <c r="E463" s="27">
        <v>0.5</v>
      </c>
      <c r="F463" s="27" t="s">
        <v>274</v>
      </c>
      <c r="G463" s="27"/>
      <c r="H463" s="27" t="s">
        <v>275</v>
      </c>
    </row>
    <row r="464" spans="1:16" ht="15.75" customHeight="1" x14ac:dyDescent="0.35">
      <c r="B464" s="20"/>
      <c r="C464" s="30"/>
      <c r="H464" s="13"/>
      <c r="I464" s="13"/>
      <c r="J464" s="35"/>
    </row>
    <row r="465" spans="1:16" ht="15.75" customHeight="1" x14ac:dyDescent="0.35">
      <c r="C465" s="30"/>
      <c r="G465" s="1" t="s">
        <v>344</v>
      </c>
      <c r="K465" s="32" t="s">
        <v>345</v>
      </c>
      <c r="L465" s="9"/>
      <c r="M465" s="9"/>
    </row>
    <row r="466" spans="1:16" ht="15.75" customHeight="1" x14ac:dyDescent="0.35">
      <c r="B466" s="20"/>
      <c r="G466" s="1"/>
      <c r="H466" s="1"/>
      <c r="K466" s="32"/>
      <c r="L466" s="9"/>
      <c r="M466" s="9"/>
    </row>
    <row r="467" spans="1:16" ht="15.75" customHeight="1" x14ac:dyDescent="0.35">
      <c r="B467" s="20"/>
      <c r="G467" s="1"/>
      <c r="H467" s="1"/>
      <c r="K467" s="32" t="s">
        <v>277</v>
      </c>
      <c r="L467" s="9"/>
      <c r="M467" s="9"/>
    </row>
    <row r="468" spans="1:16" ht="15.75" customHeight="1" x14ac:dyDescent="0.35">
      <c r="B468" s="9"/>
      <c r="C468" s="9"/>
      <c r="D468" s="9"/>
      <c r="E468" s="9"/>
      <c r="F468" s="12"/>
      <c r="G468" s="12"/>
      <c r="H468" s="12"/>
      <c r="I468" s="12"/>
      <c r="J468" s="12"/>
      <c r="K468" s="12"/>
      <c r="L468" s="1"/>
    </row>
    <row r="469" spans="1:16" ht="15.75" customHeight="1" x14ac:dyDescent="0.35">
      <c r="B469" s="13"/>
      <c r="C469" s="13"/>
      <c r="D469" s="13"/>
      <c r="E469" s="13"/>
      <c r="F469" s="33" t="s">
        <v>305</v>
      </c>
      <c r="G469" s="13"/>
      <c r="H469" s="14" t="s">
        <v>255</v>
      </c>
      <c r="I469" s="14"/>
    </row>
    <row r="470" spans="1:16" x14ac:dyDescent="0.35">
      <c r="B470" s="13" t="s">
        <v>5</v>
      </c>
      <c r="C470" s="13" t="s">
        <v>1</v>
      </c>
      <c r="D470" s="15" t="str">
        <f>VLOOKUP(A471,Inventory!$A$4:$K$1139,7)</f>
        <v>Burman Coffee</v>
      </c>
      <c r="F470" s="13" t="s">
        <v>235</v>
      </c>
      <c r="G470" s="16"/>
      <c r="L470" s="17"/>
      <c r="M470" s="17"/>
    </row>
    <row r="471" spans="1:16" x14ac:dyDescent="0.35">
      <c r="A471">
        <v>164</v>
      </c>
      <c r="B471" s="5">
        <v>45190</v>
      </c>
      <c r="C471" s="15" t="str">
        <f>VLOOKUP(A471,Inventory!$A$4:$K$1139,2)</f>
        <v>Indian Monsooned Malabar 2020</v>
      </c>
      <c r="F471" s="18" t="s">
        <v>346</v>
      </c>
      <c r="G471" s="2" t="s">
        <v>238</v>
      </c>
      <c r="L471" s="17"/>
      <c r="M471" s="17"/>
      <c r="P471" s="8"/>
    </row>
    <row r="472" spans="1:16" x14ac:dyDescent="0.35">
      <c r="I472" s="9" t="s">
        <v>258</v>
      </c>
      <c r="L472" s="19"/>
      <c r="M472" s="19"/>
    </row>
    <row r="473" spans="1:16" x14ac:dyDescent="0.35">
      <c r="B473" s="20"/>
      <c r="C473" s="11" t="s">
        <v>240</v>
      </c>
      <c r="D473" s="11" t="s">
        <v>301</v>
      </c>
      <c r="E473" s="11">
        <v>381</v>
      </c>
      <c r="F473" s="11">
        <v>386</v>
      </c>
      <c r="G473" s="11">
        <v>390</v>
      </c>
      <c r="H473" s="11">
        <v>395</v>
      </c>
      <c r="I473" s="11">
        <v>399</v>
      </c>
      <c r="J473" s="11">
        <v>401</v>
      </c>
      <c r="K473" s="11">
        <v>401</v>
      </c>
      <c r="L473" s="2"/>
    </row>
    <row r="474" spans="1:16" ht="15.75" customHeight="1" x14ac:dyDescent="0.35">
      <c r="B474" s="20" t="s">
        <v>242</v>
      </c>
      <c r="C474" s="30"/>
      <c r="D474" s="30"/>
      <c r="E474" s="23" t="s">
        <v>244</v>
      </c>
      <c r="F474" s="23" t="s">
        <v>245</v>
      </c>
      <c r="G474" s="23" t="s">
        <v>246</v>
      </c>
      <c r="H474" s="23" t="s">
        <v>247</v>
      </c>
      <c r="I474" s="23" t="s">
        <v>259</v>
      </c>
      <c r="J474" s="23" t="s">
        <v>260</v>
      </c>
      <c r="K474" s="23" t="s">
        <v>261</v>
      </c>
      <c r="O474" s="4"/>
    </row>
    <row r="475" spans="1:16" ht="1" customHeight="1" x14ac:dyDescent="0.35">
      <c r="B475" s="24" t="s">
        <v>249</v>
      </c>
      <c r="C475" s="25">
        <v>332</v>
      </c>
      <c r="D475" s="25">
        <v>370</v>
      </c>
      <c r="E475" s="25">
        <v>393</v>
      </c>
      <c r="F475" s="25">
        <v>399</v>
      </c>
      <c r="G475" s="25">
        <v>404</v>
      </c>
      <c r="H475" s="25">
        <v>410</v>
      </c>
      <c r="I475" s="25"/>
      <c r="J475" s="25"/>
      <c r="K475" s="25"/>
      <c r="O475" t="e">
        <f>(O473-3*O472)/O474</f>
        <v>#DIV/0!</v>
      </c>
    </row>
    <row r="476" spans="1:16" ht="15.75" customHeight="1" x14ac:dyDescent="0.35">
      <c r="B476" s="20" t="s">
        <v>250</v>
      </c>
      <c r="C476" s="26">
        <v>0.22222222222222221</v>
      </c>
      <c r="D476" s="26">
        <v>0.32291666666666669</v>
      </c>
      <c r="E476" s="26">
        <v>0.4201388888888889</v>
      </c>
      <c r="F476" s="26">
        <f>E476+'Lookup Tables'!$N$1</f>
        <v>0.44097222222222221</v>
      </c>
      <c r="G476" s="26">
        <f>F476+'Lookup Tables'!$N$1</f>
        <v>0.46180555555555552</v>
      </c>
      <c r="H476" s="26">
        <f>G476+'Lookup Tables'!$N$1</f>
        <v>0.48263888888888884</v>
      </c>
      <c r="I476" s="26">
        <f>H476+'Lookup Tables'!$N$1</f>
        <v>0.50347222222222221</v>
      </c>
      <c r="J476" s="26">
        <f>I476+'Lookup Tables'!$S$1</f>
        <v>0.51388888888888884</v>
      </c>
      <c r="K476" s="26">
        <f>J476+'Lookup Tables'!$S$1</f>
        <v>0.52430555555555547</v>
      </c>
      <c r="N476">
        <f>MAX(F473:M473)-O476</f>
        <v>20</v>
      </c>
      <c r="O476" t="str">
        <f>RIGHT(E473,3)</f>
        <v>381</v>
      </c>
    </row>
    <row r="477" spans="1:16" ht="15.75" customHeight="1" x14ac:dyDescent="0.35">
      <c r="B477" s="20" t="s">
        <v>251</v>
      </c>
      <c r="C477" s="27">
        <v>0.2</v>
      </c>
      <c r="D477" s="27">
        <v>0.5</v>
      </c>
      <c r="E477" s="25"/>
      <c r="F477" s="25"/>
      <c r="G477" s="27" t="s">
        <v>274</v>
      </c>
      <c r="H477" s="27"/>
      <c r="I477" s="27"/>
      <c r="J477" s="27"/>
      <c r="K477" s="27"/>
      <c r="N477" t="str">
        <f xml:space="preserve">  N476 &amp; " degrees this time"</f>
        <v>20 degrees this time</v>
      </c>
    </row>
    <row r="478" spans="1:16" ht="15.75" customHeight="1" x14ac:dyDescent="0.35">
      <c r="B478" s="20" t="s">
        <v>252</v>
      </c>
      <c r="C478" s="27">
        <v>0.9</v>
      </c>
      <c r="D478" s="27">
        <v>0.5</v>
      </c>
      <c r="E478" s="27">
        <v>0.3</v>
      </c>
      <c r="F478" s="27"/>
      <c r="G478" s="27" t="s">
        <v>274</v>
      </c>
      <c r="H478" s="27"/>
      <c r="I478" s="27"/>
      <c r="J478" s="27" t="s">
        <v>275</v>
      </c>
      <c r="K478" s="27" t="s">
        <v>275</v>
      </c>
    </row>
    <row r="479" spans="1:16" ht="15.75" customHeight="1" x14ac:dyDescent="0.35">
      <c r="B479" s="20"/>
      <c r="D479" s="11"/>
      <c r="E479" s="11"/>
      <c r="F479" s="11"/>
      <c r="G479" s="11"/>
      <c r="H479" s="13"/>
    </row>
    <row r="480" spans="1:16" ht="15.75" customHeight="1" x14ac:dyDescent="0.35">
      <c r="G480" s="1" t="s">
        <v>347</v>
      </c>
      <c r="K480" s="32" t="s">
        <v>348</v>
      </c>
      <c r="L480" s="9"/>
      <c r="M480" s="9"/>
    </row>
    <row r="481" spans="1:16" ht="15.75" customHeight="1" x14ac:dyDescent="0.35">
      <c r="B481" s="20"/>
      <c r="G481" s="1"/>
      <c r="H481" s="1"/>
      <c r="K481" s="32" t="s">
        <v>349</v>
      </c>
      <c r="L481" s="9"/>
      <c r="M481" s="9"/>
    </row>
    <row r="482" spans="1:16" ht="15.75" customHeight="1" x14ac:dyDescent="0.35">
      <c r="B482" s="20"/>
      <c r="G482" s="1"/>
      <c r="H482" s="1"/>
      <c r="K482" s="9" t="s">
        <v>254</v>
      </c>
      <c r="L482" s="9"/>
      <c r="M482" s="9"/>
    </row>
    <row r="483" spans="1:16" ht="15.75" customHeight="1" x14ac:dyDescent="0.35">
      <c r="B483" s="9"/>
      <c r="C483" s="9"/>
      <c r="D483" s="9"/>
      <c r="E483" s="9"/>
      <c r="F483" s="12"/>
      <c r="G483" s="12"/>
      <c r="H483" s="12"/>
      <c r="I483" s="12"/>
      <c r="J483" s="12"/>
      <c r="K483" s="12"/>
      <c r="L483" s="1"/>
    </row>
    <row r="484" spans="1:16" ht="15.75" customHeight="1" x14ac:dyDescent="0.35">
      <c r="B484" s="13"/>
      <c r="C484" s="13"/>
      <c r="D484" s="13"/>
      <c r="E484" s="13"/>
      <c r="F484" s="33" t="s">
        <v>298</v>
      </c>
      <c r="G484" s="13"/>
      <c r="I484" s="14"/>
    </row>
    <row r="485" spans="1:16" x14ac:dyDescent="0.35">
      <c r="B485" s="13" t="s">
        <v>5</v>
      </c>
      <c r="C485" s="13" t="s">
        <v>1</v>
      </c>
      <c r="D485" s="15" t="str">
        <f>VLOOKUP(A486,Inventory!$A$4:$K$1139,7)</f>
        <v>Burman Coffee</v>
      </c>
      <c r="F485" s="13" t="s">
        <v>235</v>
      </c>
      <c r="G485" s="16"/>
      <c r="L485" s="17"/>
      <c r="M485" s="17"/>
    </row>
    <row r="486" spans="1:16" x14ac:dyDescent="0.35">
      <c r="A486">
        <v>164</v>
      </c>
      <c r="B486" s="5">
        <v>45190</v>
      </c>
      <c r="C486" s="15" t="str">
        <f>VLOOKUP(A486,Inventory!$A$4:$K$1139,2)</f>
        <v>Indian Monsooned Malabar 2020</v>
      </c>
      <c r="F486" s="18" t="s">
        <v>291</v>
      </c>
      <c r="G486" s="2" t="s">
        <v>238</v>
      </c>
      <c r="L486" s="17"/>
      <c r="M486" s="17"/>
      <c r="P486" s="8"/>
    </row>
    <row r="487" spans="1:16" x14ac:dyDescent="0.35">
      <c r="I487" s="9" t="s">
        <v>258</v>
      </c>
      <c r="L487" s="19"/>
      <c r="M487" s="19"/>
    </row>
    <row r="488" spans="1:16" x14ac:dyDescent="0.35">
      <c r="B488" s="20"/>
      <c r="C488" s="11" t="s">
        <v>240</v>
      </c>
      <c r="D488" s="11" t="s">
        <v>301</v>
      </c>
      <c r="E488" s="11">
        <v>387</v>
      </c>
      <c r="F488" s="11">
        <v>394</v>
      </c>
      <c r="G488" s="11">
        <v>399</v>
      </c>
      <c r="H488" s="11">
        <v>405</v>
      </c>
      <c r="I488" s="11">
        <v>409</v>
      </c>
      <c r="J488" s="11">
        <v>412</v>
      </c>
      <c r="K488" s="11"/>
    </row>
    <row r="489" spans="1:16" ht="15.75" customHeight="1" x14ac:dyDescent="0.35">
      <c r="B489" s="20" t="s">
        <v>242</v>
      </c>
      <c r="C489" s="30"/>
      <c r="D489" s="30"/>
      <c r="E489" s="23" t="s">
        <v>244</v>
      </c>
      <c r="F489" s="23" t="s">
        <v>245</v>
      </c>
      <c r="G489" s="23" t="s">
        <v>246</v>
      </c>
      <c r="H489" s="23" t="s">
        <v>247</v>
      </c>
      <c r="I489" s="23" t="s">
        <v>259</v>
      </c>
      <c r="J489" s="23" t="s">
        <v>260</v>
      </c>
      <c r="K489" s="23" t="s">
        <v>261</v>
      </c>
      <c r="O489" s="4"/>
    </row>
    <row r="490" spans="1:16" ht="1" customHeight="1" x14ac:dyDescent="0.35">
      <c r="B490" s="24" t="s">
        <v>249</v>
      </c>
      <c r="C490" s="25">
        <v>332</v>
      </c>
      <c r="D490" s="25">
        <v>370</v>
      </c>
      <c r="E490" s="25">
        <v>393</v>
      </c>
      <c r="F490" s="25">
        <v>399</v>
      </c>
      <c r="G490" s="25">
        <v>404</v>
      </c>
      <c r="H490" s="25">
        <v>410</v>
      </c>
      <c r="I490" s="25"/>
      <c r="J490" s="25"/>
      <c r="K490" s="25"/>
      <c r="O490" t="e">
        <f>(O488-3*O487)/O489</f>
        <v>#DIV/0!</v>
      </c>
    </row>
    <row r="491" spans="1:16" ht="15.75" customHeight="1" x14ac:dyDescent="0.35">
      <c r="B491" s="20" t="s">
        <v>250</v>
      </c>
      <c r="C491" s="26">
        <v>0.23263888888888887</v>
      </c>
      <c r="D491" s="26">
        <v>0.3298611111111111</v>
      </c>
      <c r="E491" s="26">
        <v>0.44097222222222227</v>
      </c>
      <c r="F491" s="26">
        <f>E491+'Lookup Tables'!$N$1</f>
        <v>0.46180555555555558</v>
      </c>
      <c r="G491" s="26">
        <f>F491+'Lookup Tables'!$N$1</f>
        <v>0.4826388888888889</v>
      </c>
      <c r="H491" s="26">
        <f>G491+'Lookup Tables'!$N$1</f>
        <v>0.50347222222222221</v>
      </c>
      <c r="I491" s="26">
        <f>H491+'Lookup Tables'!$N$1</f>
        <v>0.52430555555555558</v>
      </c>
      <c r="J491" s="26">
        <f>I491+'Lookup Tables'!$S$1</f>
        <v>0.53472222222222221</v>
      </c>
      <c r="K491" s="26">
        <f>J491+'Lookup Tables'!$S$1</f>
        <v>0.54513888888888884</v>
      </c>
      <c r="N491">
        <f>MAX(F488:M488)-O491</f>
        <v>25</v>
      </c>
      <c r="O491" t="str">
        <f>RIGHT(E488,3)</f>
        <v>387</v>
      </c>
    </row>
    <row r="492" spans="1:16" ht="15.75" customHeight="1" x14ac:dyDescent="0.35">
      <c r="B492" s="20" t="s">
        <v>251</v>
      </c>
      <c r="C492" s="27">
        <v>0.2</v>
      </c>
      <c r="D492" s="27">
        <v>0.5</v>
      </c>
      <c r="E492" s="25"/>
      <c r="F492" s="25"/>
      <c r="G492" s="27" t="s">
        <v>274</v>
      </c>
      <c r="H492" s="27"/>
      <c r="I492" s="27"/>
      <c r="J492" s="27"/>
      <c r="K492" s="27"/>
      <c r="N492" t="str">
        <f xml:space="preserve">  N491 &amp; " degrees this time"</f>
        <v>25 degrees this time</v>
      </c>
    </row>
    <row r="493" spans="1:16" ht="15.75" customHeight="1" x14ac:dyDescent="0.35">
      <c r="B493" s="20" t="s">
        <v>252</v>
      </c>
      <c r="C493" s="27">
        <v>0.9</v>
      </c>
      <c r="D493" s="27">
        <v>0.5</v>
      </c>
      <c r="E493" s="27">
        <v>0.3</v>
      </c>
      <c r="F493" s="27"/>
      <c r="G493" s="27" t="s">
        <v>274</v>
      </c>
      <c r="H493" s="27"/>
      <c r="I493" s="27"/>
      <c r="J493" s="27" t="s">
        <v>275</v>
      </c>
      <c r="K493" s="27" t="s">
        <v>275</v>
      </c>
    </row>
    <row r="494" spans="1:16" ht="15.75" customHeight="1" x14ac:dyDescent="0.35">
      <c r="B494" s="20"/>
      <c r="D494" s="11"/>
      <c r="E494" s="11"/>
      <c r="F494" s="11"/>
      <c r="G494" s="11"/>
      <c r="H494" s="13"/>
    </row>
    <row r="495" spans="1:16" ht="15.75" customHeight="1" x14ac:dyDescent="0.35">
      <c r="G495" s="1" t="s">
        <v>347</v>
      </c>
      <c r="K495" s="9"/>
      <c r="L495" s="9"/>
      <c r="M495" s="9"/>
    </row>
    <row r="496" spans="1:16" ht="15.75" customHeight="1" x14ac:dyDescent="0.35">
      <c r="B496" s="20"/>
      <c r="G496" s="1"/>
      <c r="H496" s="1"/>
      <c r="K496" s="9"/>
      <c r="L496" s="9"/>
      <c r="M496" s="9"/>
    </row>
    <row r="497" spans="1:16" ht="15.75" customHeight="1" x14ac:dyDescent="0.35">
      <c r="B497" s="20"/>
      <c r="G497" s="1"/>
      <c r="H497" s="1"/>
      <c r="K497" s="9" t="s">
        <v>254</v>
      </c>
      <c r="L497" s="9"/>
      <c r="M497" s="9"/>
    </row>
    <row r="498" spans="1:16" ht="15.75" customHeight="1" x14ac:dyDescent="0.35">
      <c r="B498" s="9"/>
      <c r="C498" s="9"/>
      <c r="D498" s="9"/>
      <c r="E498" s="9"/>
      <c r="F498" s="12"/>
      <c r="G498" s="12"/>
      <c r="H498" s="12"/>
      <c r="I498" s="12"/>
      <c r="J498" s="12"/>
      <c r="K498" s="12"/>
      <c r="L498" s="1"/>
    </row>
    <row r="499" spans="1:16" ht="15.75" customHeight="1" x14ac:dyDescent="0.35">
      <c r="B499" s="13"/>
      <c r="C499" s="13"/>
      <c r="D499" s="15"/>
      <c r="F499" s="33" t="s">
        <v>350</v>
      </c>
      <c r="H499" s="14" t="s">
        <v>255</v>
      </c>
    </row>
    <row r="500" spans="1:16" x14ac:dyDescent="0.35">
      <c r="B500" s="13" t="s">
        <v>5</v>
      </c>
      <c r="C500" s="13" t="s">
        <v>1</v>
      </c>
      <c r="D500" s="15" t="str">
        <f>VLOOKUP(A501,Inventory!$A$4:$K$1139,7)</f>
        <v>Captain's Coffee</v>
      </c>
      <c r="F500" s="13" t="s">
        <v>235</v>
      </c>
      <c r="G500" s="16"/>
      <c r="L500" s="17"/>
      <c r="M500" s="17"/>
    </row>
    <row r="501" spans="1:16" x14ac:dyDescent="0.35">
      <c r="A501">
        <v>178</v>
      </c>
      <c r="B501" s="5">
        <v>45190</v>
      </c>
      <c r="C501" s="15" t="str">
        <f>VLOOKUP(A501,Inventory!$A$4:$K$1139,2)</f>
        <v>Ethiopia Sidama Bensa Keramo Washed 2022</v>
      </c>
      <c r="E501" s="11"/>
      <c r="F501" s="31" t="s">
        <v>291</v>
      </c>
      <c r="G501" s="2" t="s">
        <v>286</v>
      </c>
      <c r="L501" s="17"/>
      <c r="M501" s="17"/>
      <c r="P501" s="8"/>
    </row>
    <row r="502" spans="1:16" x14ac:dyDescent="0.35">
      <c r="D502" s="11"/>
      <c r="E502" s="11"/>
      <c r="G502" s="16"/>
      <c r="K502" s="2"/>
      <c r="L502" s="19"/>
      <c r="M502" s="19"/>
    </row>
    <row r="503" spans="1:16" x14ac:dyDescent="0.35">
      <c r="B503" s="20"/>
      <c r="C503" s="11" t="s">
        <v>240</v>
      </c>
      <c r="D503" s="11" t="s">
        <v>272</v>
      </c>
      <c r="E503" s="11">
        <v>368</v>
      </c>
      <c r="F503" s="11">
        <v>374</v>
      </c>
      <c r="G503" s="11">
        <v>383</v>
      </c>
      <c r="H503" s="11">
        <v>390</v>
      </c>
      <c r="I503" s="2" t="s">
        <v>313</v>
      </c>
      <c r="J503" s="11"/>
      <c r="K503" s="11"/>
    </row>
    <row r="504" spans="1:16" ht="15.75" customHeight="1" x14ac:dyDescent="0.35">
      <c r="B504" s="20" t="s">
        <v>242</v>
      </c>
      <c r="C504" s="21"/>
      <c r="D504" s="22" t="s">
        <v>299</v>
      </c>
      <c r="E504" s="23" t="s">
        <v>244</v>
      </c>
      <c r="F504" s="23" t="s">
        <v>245</v>
      </c>
      <c r="G504" s="23" t="s">
        <v>246</v>
      </c>
      <c r="H504" s="23" t="s">
        <v>247</v>
      </c>
      <c r="O504" s="4"/>
    </row>
    <row r="505" spans="1:16" ht="1" customHeight="1" x14ac:dyDescent="0.35">
      <c r="B505" s="24" t="s">
        <v>249</v>
      </c>
      <c r="C505" s="25"/>
      <c r="D505" s="25"/>
      <c r="E505" s="25"/>
      <c r="F505" s="25"/>
      <c r="G505" s="25"/>
      <c r="H505" s="25"/>
      <c r="O505" t="e">
        <f>(O503-3*O502)/O504</f>
        <v>#DIV/0!</v>
      </c>
    </row>
    <row r="506" spans="1:16" ht="15.75" customHeight="1" x14ac:dyDescent="0.35">
      <c r="B506" s="20" t="s">
        <v>250</v>
      </c>
      <c r="C506" s="26">
        <v>0.17708333333333334</v>
      </c>
      <c r="D506" s="26">
        <v>0.2673611111111111</v>
      </c>
      <c r="E506" s="26">
        <v>0.35416666666666669</v>
      </c>
      <c r="F506" s="26">
        <f>E506+'Lookup Tables'!$N$1</f>
        <v>0.375</v>
      </c>
      <c r="G506" s="26">
        <f>F506+'Lookup Tables'!$N$1</f>
        <v>0.39583333333333331</v>
      </c>
      <c r="H506" s="26">
        <f>G506+'Lookup Tables'!$N$1</f>
        <v>0.41666666666666663</v>
      </c>
      <c r="N506">
        <f>MAX(F503:M503)-O506</f>
        <v>22</v>
      </c>
      <c r="O506" t="str">
        <f>RIGHT(E503,3)</f>
        <v>368</v>
      </c>
    </row>
    <row r="507" spans="1:16" ht="15.75" customHeight="1" x14ac:dyDescent="0.35">
      <c r="B507" s="20" t="s">
        <v>251</v>
      </c>
      <c r="C507" s="27">
        <v>0.2</v>
      </c>
      <c r="D507" s="27">
        <v>0.5</v>
      </c>
      <c r="E507" s="27"/>
      <c r="F507" s="27"/>
      <c r="G507" s="27"/>
      <c r="H507" s="27"/>
      <c r="N507" t="str">
        <f xml:space="preserve">  N506 &amp; " degrees this time"</f>
        <v>22 degrees this time</v>
      </c>
    </row>
    <row r="508" spans="1:16" ht="15.75" customHeight="1" x14ac:dyDescent="0.35">
      <c r="B508" s="20" t="s">
        <v>252</v>
      </c>
      <c r="C508" s="27">
        <v>0.9</v>
      </c>
      <c r="D508" s="27">
        <v>0.8</v>
      </c>
      <c r="E508" s="27"/>
      <c r="F508" s="27">
        <v>0.5</v>
      </c>
      <c r="G508" s="27" t="s">
        <v>274</v>
      </c>
      <c r="H508" s="27" t="s">
        <v>275</v>
      </c>
    </row>
    <row r="509" spans="1:16" ht="15.75" customHeight="1" x14ac:dyDescent="0.35">
      <c r="B509" s="20"/>
      <c r="F509" s="1"/>
    </row>
    <row r="510" spans="1:16" ht="15.75" customHeight="1" x14ac:dyDescent="0.35">
      <c r="B510" s="20"/>
      <c r="G510" s="1" t="s">
        <v>351</v>
      </c>
      <c r="K510" s="32" t="s">
        <v>352</v>
      </c>
      <c r="L510" s="9"/>
      <c r="M510" s="9"/>
    </row>
    <row r="511" spans="1:16" ht="15.75" customHeight="1" x14ac:dyDescent="0.35">
      <c r="B511" s="20"/>
      <c r="G511" s="1"/>
      <c r="H511" s="1"/>
      <c r="K511" s="32" t="s">
        <v>353</v>
      </c>
      <c r="L511" s="9"/>
      <c r="M511" s="9"/>
    </row>
    <row r="512" spans="1:16" ht="15.75" customHeight="1" x14ac:dyDescent="0.35">
      <c r="B512" s="20"/>
      <c r="G512" s="1"/>
      <c r="H512" s="1"/>
      <c r="K512" s="9" t="s">
        <v>300</v>
      </c>
      <c r="L512" s="9"/>
      <c r="M512" s="9"/>
    </row>
    <row r="513" spans="1:16" ht="15.75" customHeight="1" x14ac:dyDescent="0.35">
      <c r="B513" s="9"/>
      <c r="C513" s="9"/>
      <c r="D513" s="9"/>
      <c r="E513" s="9"/>
      <c r="F513" s="12"/>
      <c r="G513" s="12"/>
      <c r="H513" s="12"/>
      <c r="I513" s="12"/>
      <c r="J513" s="12"/>
      <c r="K513" s="12"/>
      <c r="L513" s="1"/>
    </row>
    <row r="514" spans="1:16" ht="15.75" customHeight="1" x14ac:dyDescent="0.35">
      <c r="B514" s="13"/>
      <c r="C514" s="13"/>
      <c r="D514" s="15"/>
      <c r="H514" s="14"/>
    </row>
    <row r="515" spans="1:16" x14ac:dyDescent="0.35">
      <c r="B515" s="13" t="s">
        <v>5</v>
      </c>
      <c r="C515" s="13" t="s">
        <v>1</v>
      </c>
      <c r="D515" s="15" t="str">
        <f>VLOOKUP(A516,Inventory!$A$4:$K$1139,7)</f>
        <v>Burman Coffee</v>
      </c>
      <c r="F515" s="13" t="s">
        <v>235</v>
      </c>
      <c r="G515" s="16"/>
      <c r="H515" s="14"/>
      <c r="L515" s="17"/>
      <c r="M515" s="17"/>
    </row>
    <row r="516" spans="1:16" x14ac:dyDescent="0.35">
      <c r="A516">
        <v>165</v>
      </c>
      <c r="B516" s="5">
        <v>45190</v>
      </c>
      <c r="C516" s="15" t="str">
        <f>VLOOKUP(A516,Inventory!$A$4:$K$1139,2)</f>
        <v>Ethiopian Guji Natural - Shakiso 2020</v>
      </c>
      <c r="F516" s="34" t="s">
        <v>279</v>
      </c>
      <c r="G516" s="2" t="s">
        <v>286</v>
      </c>
      <c r="L516" s="17"/>
      <c r="M516" s="17"/>
      <c r="P516" s="8"/>
    </row>
    <row r="517" spans="1:16" x14ac:dyDescent="0.35">
      <c r="F517" s="11"/>
      <c r="G517" s="11"/>
      <c r="H517" s="11"/>
      <c r="I517" s="11"/>
      <c r="J517" s="11"/>
      <c r="K517" s="11"/>
      <c r="L517" s="28"/>
      <c r="M517" s="36"/>
    </row>
    <row r="518" spans="1:16" x14ac:dyDescent="0.35">
      <c r="B518" s="20"/>
      <c r="C518" s="11" t="s">
        <v>240</v>
      </c>
      <c r="D518" s="11" t="s">
        <v>272</v>
      </c>
      <c r="E518" s="11">
        <v>374</v>
      </c>
      <c r="F518" s="11">
        <v>386</v>
      </c>
      <c r="G518" s="11">
        <v>398</v>
      </c>
      <c r="H518" s="11"/>
      <c r="I518" s="11"/>
      <c r="J518" s="11"/>
      <c r="K518" s="11"/>
    </row>
    <row r="519" spans="1:16" ht="15.75" customHeight="1" x14ac:dyDescent="0.35">
      <c r="B519" s="20" t="s">
        <v>242</v>
      </c>
      <c r="C519" s="30"/>
      <c r="D519" s="30"/>
      <c r="E519" s="23" t="s">
        <v>244</v>
      </c>
      <c r="F519" s="23" t="s">
        <v>245</v>
      </c>
      <c r="G519" s="23" t="s">
        <v>246</v>
      </c>
      <c r="H519" s="23" t="s">
        <v>273</v>
      </c>
      <c r="O519" s="4"/>
    </row>
    <row r="520" spans="1:16" ht="1" customHeight="1" x14ac:dyDescent="0.35">
      <c r="B520" s="24" t="s">
        <v>249</v>
      </c>
      <c r="C520" s="25"/>
      <c r="D520" s="25"/>
      <c r="E520" s="25"/>
      <c r="F520" s="25"/>
      <c r="G520" s="25"/>
      <c r="H520" s="23" t="s">
        <v>247</v>
      </c>
      <c r="O520" t="e">
        <f>(O518-3*O517)/O519</f>
        <v>#DIV/0!</v>
      </c>
    </row>
    <row r="521" spans="1:16" ht="15.75" customHeight="1" x14ac:dyDescent="0.35">
      <c r="B521" s="20" t="s">
        <v>250</v>
      </c>
      <c r="C521" s="26">
        <v>0.20486111111111113</v>
      </c>
      <c r="D521" s="26">
        <v>0.29166666666666669</v>
      </c>
      <c r="E521" s="26">
        <v>0.37152777777777773</v>
      </c>
      <c r="F521" s="26">
        <f>E521+'Lookup Tables'!$N$1</f>
        <v>0.39236111111111105</v>
      </c>
      <c r="G521" s="26">
        <f>F521+'Lookup Tables'!$N$1</f>
        <v>0.41319444444444436</v>
      </c>
      <c r="H521" s="26">
        <f>G521+'Lookup Tables'!$S$1</f>
        <v>0.42361111111111105</v>
      </c>
      <c r="N521">
        <f>MAX(F518:M518)-O521</f>
        <v>24</v>
      </c>
      <c r="O521" t="str">
        <f>RIGHT(E518,3)</f>
        <v>374</v>
      </c>
    </row>
    <row r="522" spans="1:16" ht="15.75" customHeight="1" x14ac:dyDescent="0.35">
      <c r="B522" s="20" t="s">
        <v>251</v>
      </c>
      <c r="C522" s="27">
        <v>0.2</v>
      </c>
      <c r="D522" s="27">
        <v>0.5</v>
      </c>
      <c r="E522" s="27"/>
      <c r="F522" s="27"/>
      <c r="G522" s="27"/>
      <c r="H522" s="25"/>
      <c r="N522" t="str">
        <f xml:space="preserve">  N521 &amp; " degrees this time"</f>
        <v>24 degrees this time</v>
      </c>
    </row>
    <row r="523" spans="1:16" ht="15.75" customHeight="1" x14ac:dyDescent="0.35">
      <c r="B523" s="20" t="s">
        <v>252</v>
      </c>
      <c r="C523" s="27">
        <v>0.9</v>
      </c>
      <c r="D523" s="27">
        <v>0.8</v>
      </c>
      <c r="E523" s="27"/>
      <c r="F523" s="27">
        <v>0.5</v>
      </c>
      <c r="G523" s="27"/>
      <c r="H523" s="27" t="s">
        <v>275</v>
      </c>
    </row>
    <row r="524" spans="1:16" ht="15.75" customHeight="1" x14ac:dyDescent="0.35">
      <c r="B524" s="20"/>
      <c r="C524" s="30"/>
      <c r="D524" s="11"/>
      <c r="E524" s="1"/>
      <c r="F524" s="11"/>
      <c r="G524" s="11"/>
      <c r="H524" s="11"/>
      <c r="J524" s="37"/>
      <c r="K524" s="32" t="s">
        <v>327</v>
      </c>
      <c r="L524" s="9"/>
      <c r="M524" s="9"/>
    </row>
    <row r="525" spans="1:16" ht="15.75" customHeight="1" x14ac:dyDescent="0.35">
      <c r="B525" s="38"/>
      <c r="D525" s="11"/>
      <c r="E525" s="11"/>
      <c r="F525" s="11"/>
      <c r="G525" s="1" t="s">
        <v>281</v>
      </c>
      <c r="K525" s="32" t="s">
        <v>328</v>
      </c>
      <c r="L525" s="9"/>
      <c r="M525" s="9"/>
    </row>
    <row r="526" spans="1:16" ht="15.75" customHeight="1" x14ac:dyDescent="0.35">
      <c r="B526" s="20"/>
      <c r="K526" s="32"/>
      <c r="L526" s="9"/>
      <c r="M526" s="9"/>
    </row>
    <row r="527" spans="1:16" ht="15.75" customHeight="1" x14ac:dyDescent="0.35">
      <c r="B527" s="20"/>
      <c r="G527" s="1"/>
      <c r="H527" s="1"/>
      <c r="K527" s="9" t="s">
        <v>254</v>
      </c>
      <c r="L527" s="9"/>
      <c r="M527" s="9"/>
    </row>
    <row r="528" spans="1:16" ht="15.75" customHeight="1" x14ac:dyDescent="0.35">
      <c r="B528" s="9"/>
      <c r="C528" s="9"/>
      <c r="D528" s="9"/>
      <c r="E528" s="9"/>
      <c r="F528" s="12"/>
      <c r="G528" s="12"/>
      <c r="H528" s="12"/>
      <c r="I528" s="12"/>
      <c r="J528" s="12"/>
      <c r="K528" s="12"/>
      <c r="L528" s="1"/>
    </row>
    <row r="529" spans="1:16" ht="15.75" customHeight="1" x14ac:dyDescent="0.35">
      <c r="B529" s="13"/>
      <c r="C529" s="13"/>
      <c r="D529" s="15"/>
    </row>
    <row r="530" spans="1:16" x14ac:dyDescent="0.35">
      <c r="B530" s="13" t="s">
        <v>5</v>
      </c>
      <c r="C530" s="13" t="s">
        <v>1</v>
      </c>
      <c r="D530" s="15" t="str">
        <f>VLOOKUP(A531,Inventory!$A$4:$K$1139,7)</f>
        <v xml:space="preserve">Klatch                             </v>
      </c>
      <c r="F530" s="13" t="s">
        <v>235</v>
      </c>
      <c r="G530" s="16"/>
      <c r="L530" s="17"/>
      <c r="M530" s="17"/>
    </row>
    <row r="531" spans="1:16" x14ac:dyDescent="0.35">
      <c r="A531">
        <v>168</v>
      </c>
      <c r="B531" s="5">
        <v>45190</v>
      </c>
      <c r="C531" s="15" t="str">
        <f>VLOOKUP(A531,Inventory!$A$4:$K$1139,2)</f>
        <v>Ethiopia Yirgacheffe BedHatu Washed 2021</v>
      </c>
      <c r="F531" s="39" t="s">
        <v>291</v>
      </c>
      <c r="G531" s="2" t="s">
        <v>286</v>
      </c>
      <c r="L531" s="17"/>
      <c r="M531" s="17"/>
      <c r="P531" s="8"/>
    </row>
    <row r="532" spans="1:16" x14ac:dyDescent="0.35">
      <c r="G532" s="16"/>
      <c r="L532" s="19"/>
      <c r="M532" s="19"/>
    </row>
    <row r="533" spans="1:16" x14ac:dyDescent="0.35">
      <c r="B533" s="20"/>
      <c r="C533" s="11" t="s">
        <v>240</v>
      </c>
      <c r="D533" s="11" t="s">
        <v>241</v>
      </c>
      <c r="E533" s="11">
        <v>368</v>
      </c>
      <c r="F533" s="11">
        <v>375</v>
      </c>
      <c r="G533" s="11">
        <v>382</v>
      </c>
      <c r="H533" s="11">
        <v>389</v>
      </c>
      <c r="I533" s="11">
        <v>393</v>
      </c>
      <c r="J533" s="11">
        <v>396</v>
      </c>
      <c r="K533" s="11" t="s">
        <v>322</v>
      </c>
    </row>
    <row r="534" spans="1:16" ht="15.75" customHeight="1" x14ac:dyDescent="0.35">
      <c r="B534" s="20" t="s">
        <v>242</v>
      </c>
      <c r="C534" s="30"/>
      <c r="D534" s="30"/>
      <c r="E534" s="23" t="s">
        <v>244</v>
      </c>
      <c r="F534" s="23" t="s">
        <v>245</v>
      </c>
      <c r="G534" s="23" t="s">
        <v>246</v>
      </c>
      <c r="H534" s="23" t="s">
        <v>247</v>
      </c>
      <c r="I534" s="23" t="s">
        <v>248</v>
      </c>
      <c r="J534" s="23" t="s">
        <v>259</v>
      </c>
      <c r="O534" s="4"/>
    </row>
    <row r="535" spans="1:16" ht="1" customHeight="1" x14ac:dyDescent="0.35">
      <c r="B535" s="24" t="s">
        <v>249</v>
      </c>
      <c r="C535" s="25"/>
      <c r="D535" s="25"/>
      <c r="E535" s="25"/>
      <c r="F535" s="25"/>
      <c r="G535" s="25"/>
      <c r="H535" s="25"/>
      <c r="I535" s="25"/>
      <c r="J535" s="25"/>
      <c r="O535" t="e">
        <f>(O533-3*O532)/O534</f>
        <v>#DIV/0!</v>
      </c>
    </row>
    <row r="536" spans="1:16" ht="15.75" customHeight="1" x14ac:dyDescent="0.35">
      <c r="B536" s="20" t="s">
        <v>250</v>
      </c>
      <c r="C536" s="26">
        <v>0.19444444444444445</v>
      </c>
      <c r="D536" s="26">
        <v>0.27083333333333331</v>
      </c>
      <c r="E536" s="26">
        <v>0.35416666666666669</v>
      </c>
      <c r="F536" s="26">
        <f>E536+'Lookup Tables'!$N$1</f>
        <v>0.375</v>
      </c>
      <c r="G536" s="26">
        <f>F536+'Lookup Tables'!$N$1</f>
        <v>0.39583333333333331</v>
      </c>
      <c r="H536" s="26">
        <f>G536+'Lookup Tables'!$N$1</f>
        <v>0.41666666666666663</v>
      </c>
      <c r="I536" s="26">
        <f>H536+'Lookup Tables'!$S$1</f>
        <v>0.42708333333333331</v>
      </c>
      <c r="J536" s="26">
        <f>I536+'Lookup Tables'!$S$1</f>
        <v>0.4375</v>
      </c>
      <c r="N536">
        <f>MAX(F533:M533)-O536</f>
        <v>28</v>
      </c>
      <c r="O536" t="str">
        <f>RIGHT(E533,3)</f>
        <v>368</v>
      </c>
    </row>
    <row r="537" spans="1:16" ht="15.75" customHeight="1" x14ac:dyDescent="0.35">
      <c r="B537" s="20" t="s">
        <v>251</v>
      </c>
      <c r="C537" s="27">
        <v>0.2</v>
      </c>
      <c r="D537" s="27">
        <v>0.5</v>
      </c>
      <c r="E537" s="27"/>
      <c r="F537" s="27"/>
      <c r="G537" s="27"/>
      <c r="H537" s="25"/>
      <c r="I537" s="27"/>
      <c r="J537" s="27"/>
      <c r="N537" t="str">
        <f xml:space="preserve">  N536 &amp; " degrees this time"</f>
        <v>28 degrees this time</v>
      </c>
    </row>
    <row r="538" spans="1:16" ht="15.75" customHeight="1" x14ac:dyDescent="0.35">
      <c r="B538" s="20" t="s">
        <v>252</v>
      </c>
      <c r="C538" s="27">
        <v>0.9</v>
      </c>
      <c r="D538" s="27">
        <v>0.8</v>
      </c>
      <c r="E538" s="27"/>
      <c r="F538" s="27"/>
      <c r="G538" s="27">
        <v>0.5</v>
      </c>
      <c r="H538" s="27"/>
      <c r="I538" s="27"/>
      <c r="J538" s="27" t="s">
        <v>275</v>
      </c>
    </row>
    <row r="539" spans="1:16" ht="15.75" customHeight="1" x14ac:dyDescent="0.35">
      <c r="B539" s="20"/>
      <c r="C539" s="30"/>
      <c r="D539" s="11"/>
      <c r="E539" s="1"/>
      <c r="F539" s="11"/>
      <c r="G539" s="11"/>
      <c r="H539" s="11"/>
    </row>
    <row r="540" spans="1:16" ht="15.75" customHeight="1" x14ac:dyDescent="0.35">
      <c r="B540" s="38"/>
      <c r="D540" s="11"/>
      <c r="E540" s="11"/>
      <c r="F540" s="11"/>
      <c r="G540" s="1" t="s">
        <v>292</v>
      </c>
      <c r="K540" s="9" t="s">
        <v>293</v>
      </c>
      <c r="L540" s="9"/>
      <c r="M540" s="9"/>
    </row>
    <row r="541" spans="1:16" ht="15.75" customHeight="1" x14ac:dyDescent="0.35">
      <c r="B541" s="20"/>
      <c r="G541" s="1"/>
      <c r="H541" s="1"/>
      <c r="K541" s="32"/>
      <c r="L541" s="9"/>
      <c r="M541" s="9"/>
    </row>
    <row r="542" spans="1:16" ht="15.75" customHeight="1" x14ac:dyDescent="0.35">
      <c r="B542" s="20"/>
      <c r="G542" s="1"/>
      <c r="H542" s="1"/>
      <c r="K542" s="9" t="s">
        <v>254</v>
      </c>
      <c r="L542" s="9"/>
      <c r="M542" s="9"/>
    </row>
    <row r="543" spans="1:16" ht="15.75" customHeight="1" x14ac:dyDescent="0.35">
      <c r="B543" s="9"/>
      <c r="C543" s="9"/>
      <c r="D543" s="9"/>
      <c r="E543" s="9"/>
      <c r="F543" s="12"/>
      <c r="G543" s="12"/>
      <c r="H543" s="12"/>
      <c r="I543" s="12"/>
      <c r="J543" s="12"/>
      <c r="K543" s="12"/>
      <c r="L543" s="1"/>
    </row>
    <row r="544" spans="1:16" ht="15.75" customHeight="1" x14ac:dyDescent="0.35">
      <c r="B544" s="13"/>
      <c r="C544" s="13"/>
      <c r="D544" s="15"/>
      <c r="E544" s="15"/>
      <c r="F544" s="15"/>
      <c r="G544" s="16"/>
      <c r="H544" s="14" t="s">
        <v>255</v>
      </c>
      <c r="I544" s="14"/>
    </row>
    <row r="545" spans="1:16" x14ac:dyDescent="0.35">
      <c r="B545" s="13" t="s">
        <v>5</v>
      </c>
      <c r="C545" s="13" t="s">
        <v>1</v>
      </c>
      <c r="D545" s="15" t="str">
        <f>VLOOKUP(A546,Inventory!$A$4:$K$1139,7)</f>
        <v xml:space="preserve">Sweet Marias                       </v>
      </c>
      <c r="F545" s="13" t="s">
        <v>235</v>
      </c>
      <c r="G545" s="16"/>
      <c r="H545" s="14"/>
      <c r="L545" s="17"/>
      <c r="M545" s="17"/>
    </row>
    <row r="546" spans="1:16" x14ac:dyDescent="0.35">
      <c r="A546">
        <v>169</v>
      </c>
      <c r="B546" s="5">
        <v>45190</v>
      </c>
      <c r="C546" s="15" t="str">
        <f>VLOOKUP(A546,Inventory!$A$4:$K$1139,2)</f>
        <v>Yemen Mokha Matari 2021</v>
      </c>
      <c r="F546" s="31" t="s">
        <v>291</v>
      </c>
      <c r="G546" s="2" t="s">
        <v>286</v>
      </c>
      <c r="L546" s="17"/>
      <c r="M546" s="17"/>
      <c r="P546" s="8"/>
    </row>
    <row r="547" spans="1:16" x14ac:dyDescent="0.35">
      <c r="B547" t="s">
        <v>16</v>
      </c>
      <c r="G547" s="16"/>
      <c r="L547" s="19"/>
      <c r="M547" s="19"/>
    </row>
    <row r="548" spans="1:16" x14ac:dyDescent="0.35">
      <c r="B548" s="20"/>
      <c r="C548" s="11" t="s">
        <v>240</v>
      </c>
      <c r="D548" s="11" t="s">
        <v>272</v>
      </c>
      <c r="E548" s="11">
        <v>372</v>
      </c>
      <c r="F548" s="11">
        <v>378</v>
      </c>
      <c r="G548" s="11">
        <v>387</v>
      </c>
      <c r="H548" s="11">
        <v>393</v>
      </c>
      <c r="I548" s="11">
        <v>394</v>
      </c>
      <c r="J548" s="11" t="s">
        <v>313</v>
      </c>
      <c r="K548" s="11"/>
    </row>
    <row r="549" spans="1:16" ht="15.75" customHeight="1" x14ac:dyDescent="0.35">
      <c r="B549" s="20" t="s">
        <v>242</v>
      </c>
      <c r="C549" s="21"/>
      <c r="D549" s="22" t="s">
        <v>294</v>
      </c>
      <c r="E549" s="23" t="s">
        <v>244</v>
      </c>
      <c r="F549" s="23" t="s">
        <v>245</v>
      </c>
      <c r="G549" s="23" t="s">
        <v>246</v>
      </c>
      <c r="H549" s="23" t="s">
        <v>273</v>
      </c>
      <c r="I549" s="23" t="s">
        <v>247</v>
      </c>
      <c r="O549" s="4"/>
    </row>
    <row r="550" spans="1:16" ht="1" customHeight="1" x14ac:dyDescent="0.35">
      <c r="B550" s="24" t="s">
        <v>249</v>
      </c>
      <c r="C550" s="25">
        <v>320</v>
      </c>
      <c r="D550" s="25">
        <v>350</v>
      </c>
      <c r="E550" s="25"/>
      <c r="F550" s="25"/>
      <c r="G550" s="25"/>
      <c r="H550" s="23" t="s">
        <v>247</v>
      </c>
      <c r="I550" s="25"/>
      <c r="O550" t="e">
        <f>(O548-3*O547)/O549</f>
        <v>#DIV/0!</v>
      </c>
    </row>
    <row r="551" spans="1:16" ht="15.75" customHeight="1" x14ac:dyDescent="0.35">
      <c r="B551" s="20" t="s">
        <v>250</v>
      </c>
      <c r="C551" s="26">
        <v>0.21180555555555555</v>
      </c>
      <c r="D551" s="26">
        <v>0.3125</v>
      </c>
      <c r="E551" s="26">
        <v>0.40277777777777773</v>
      </c>
      <c r="F551" s="26">
        <f>E551+'Lookup Tables'!$N$1</f>
        <v>0.42361111111111105</v>
      </c>
      <c r="G551" s="26">
        <f>F551+'Lookup Tables'!$N$1</f>
        <v>0.44444444444444436</v>
      </c>
      <c r="H551" s="26">
        <f>G551+'Lookup Tables'!$S$1</f>
        <v>0.45486111111111105</v>
      </c>
      <c r="I551" s="26">
        <f>H551+'Lookup Tables'!$S$1</f>
        <v>0.46527777777777773</v>
      </c>
      <c r="J551" s="11"/>
      <c r="K551" s="11"/>
      <c r="N551">
        <f>MAX(F548:M548)-O551</f>
        <v>22</v>
      </c>
      <c r="O551" t="str">
        <f>RIGHT(E548,3)</f>
        <v>372</v>
      </c>
    </row>
    <row r="552" spans="1:16" ht="15.75" customHeight="1" x14ac:dyDescent="0.35">
      <c r="B552" s="20" t="s">
        <v>251</v>
      </c>
      <c r="C552" s="27">
        <v>0.2</v>
      </c>
      <c r="D552" s="27">
        <v>0.5</v>
      </c>
      <c r="E552" s="27"/>
      <c r="F552" s="27"/>
      <c r="G552" s="27">
        <v>0.25</v>
      </c>
      <c r="H552" s="27"/>
      <c r="I552" s="27"/>
      <c r="N552" t="str">
        <f xml:space="preserve">  N551 &amp; " degrees this time"</f>
        <v>22 degrees this time</v>
      </c>
    </row>
    <row r="553" spans="1:16" ht="15.75" customHeight="1" x14ac:dyDescent="0.35">
      <c r="B553" s="20" t="s">
        <v>252</v>
      </c>
      <c r="C553" s="27">
        <v>0.9</v>
      </c>
      <c r="D553" s="27">
        <v>0.7</v>
      </c>
      <c r="E553" s="27"/>
      <c r="F553" s="27">
        <v>0.5</v>
      </c>
      <c r="G553" s="27"/>
      <c r="H553" s="27" t="s">
        <v>275</v>
      </c>
      <c r="I553" s="27" t="s">
        <v>275</v>
      </c>
    </row>
    <row r="554" spans="1:16" ht="15.75" customHeight="1" x14ac:dyDescent="0.35">
      <c r="B554" s="20"/>
      <c r="D554" s="11"/>
      <c r="E554" s="40"/>
      <c r="F554" s="11"/>
      <c r="G554" s="11"/>
      <c r="K554" s="32" t="s">
        <v>314</v>
      </c>
      <c r="L554" s="9"/>
      <c r="M554" s="9"/>
    </row>
    <row r="555" spans="1:16" ht="15.75" customHeight="1" x14ac:dyDescent="0.35">
      <c r="B555" s="38"/>
      <c r="D555" s="15"/>
      <c r="F555" s="13"/>
      <c r="G555" s="1" t="s">
        <v>296</v>
      </c>
      <c r="K555" s="32"/>
      <c r="L555" s="9"/>
      <c r="M555" s="9"/>
    </row>
    <row r="556" spans="1:16" ht="15.75" customHeight="1" x14ac:dyDescent="0.35">
      <c r="B556" s="20"/>
      <c r="G556" s="1"/>
      <c r="H556" s="1"/>
      <c r="K556" s="9"/>
      <c r="L556" s="9"/>
      <c r="M556" s="9"/>
    </row>
    <row r="557" spans="1:16" ht="15.75" customHeight="1" x14ac:dyDescent="0.35">
      <c r="B557" s="20"/>
      <c r="G557" s="1"/>
      <c r="H557" s="1"/>
      <c r="K557" s="9" t="s">
        <v>297</v>
      </c>
      <c r="L557" s="9"/>
      <c r="M557" s="9"/>
    </row>
    <row r="558" spans="1:16" ht="15.75" customHeight="1" x14ac:dyDescent="0.35">
      <c r="B558" s="9"/>
      <c r="C558" s="9"/>
      <c r="D558" s="9"/>
      <c r="E558" s="9"/>
      <c r="F558" s="12"/>
      <c r="G558" s="12"/>
      <c r="H558" s="12"/>
      <c r="I558" s="12"/>
      <c r="J558" s="12"/>
      <c r="K558" s="12"/>
      <c r="L558" s="1"/>
    </row>
    <row r="559" spans="1:16" ht="15.75" customHeight="1" x14ac:dyDescent="0.35">
      <c r="B559" s="13"/>
      <c r="C559" s="13"/>
      <c r="D559" s="13"/>
      <c r="E559" s="13"/>
      <c r="F559" s="33" t="s">
        <v>282</v>
      </c>
      <c r="G559" s="13"/>
      <c r="I559" s="14"/>
    </row>
    <row r="560" spans="1:16" x14ac:dyDescent="0.35">
      <c r="B560" s="13" t="s">
        <v>5</v>
      </c>
      <c r="C560" s="13" t="s">
        <v>1</v>
      </c>
      <c r="D560" s="15" t="str">
        <f>VLOOKUP(A561,Inventory!$A$4:$K$1139,7)</f>
        <v xml:space="preserve">Sweet Marias                       </v>
      </c>
      <c r="F560" s="13" t="s">
        <v>235</v>
      </c>
      <c r="G560" s="16"/>
      <c r="H560" s="14" t="s">
        <v>236</v>
      </c>
      <c r="L560" s="17"/>
      <c r="M560" s="17"/>
    </row>
    <row r="561" spans="1:16" x14ac:dyDescent="0.35">
      <c r="A561">
        <v>173</v>
      </c>
      <c r="B561" s="5">
        <v>45179</v>
      </c>
      <c r="C561" s="15" t="str">
        <f>VLOOKUP(A561,Inventory!$A$4:$K$1139,2)</f>
        <v>Costa Rica La Pradera SWP Decaf 2022</v>
      </c>
      <c r="F561" s="18" t="s">
        <v>237</v>
      </c>
      <c r="G561" s="2" t="s">
        <v>238</v>
      </c>
      <c r="L561" s="17"/>
      <c r="M561" s="17"/>
      <c r="P561" s="8"/>
    </row>
    <row r="562" spans="1:16" x14ac:dyDescent="0.35">
      <c r="I562" s="2" t="s">
        <v>239</v>
      </c>
      <c r="J562" s="1" t="s">
        <v>16</v>
      </c>
      <c r="L562" s="19"/>
      <c r="M562" s="19"/>
    </row>
    <row r="563" spans="1:16" x14ac:dyDescent="0.35">
      <c r="C563" s="11" t="s">
        <v>240</v>
      </c>
      <c r="D563" s="11" t="s">
        <v>241</v>
      </c>
      <c r="E563" s="11">
        <v>374</v>
      </c>
      <c r="F563" s="11">
        <v>381</v>
      </c>
      <c r="G563" s="11">
        <v>388</v>
      </c>
      <c r="H563" s="11">
        <v>397</v>
      </c>
      <c r="I563" s="11"/>
      <c r="J563" s="11"/>
      <c r="K563" s="11"/>
      <c r="L563" s="11"/>
    </row>
    <row r="564" spans="1:16" ht="15.75" customHeight="1" x14ac:dyDescent="0.35">
      <c r="B564" s="20" t="s">
        <v>242</v>
      </c>
      <c r="C564" s="21"/>
      <c r="D564" s="22" t="s">
        <v>243</v>
      </c>
      <c r="E564" s="23" t="s">
        <v>244</v>
      </c>
      <c r="F564" s="23" t="s">
        <v>245</v>
      </c>
      <c r="G564" s="23" t="s">
        <v>246</v>
      </c>
      <c r="H564" s="23" t="s">
        <v>247</v>
      </c>
      <c r="I564" s="23" t="s">
        <v>259</v>
      </c>
      <c r="O564" s="4"/>
    </row>
    <row r="565" spans="1:16" ht="1" customHeight="1" x14ac:dyDescent="0.35">
      <c r="B565" s="24" t="s">
        <v>249</v>
      </c>
      <c r="C565" s="25"/>
      <c r="D565" s="25"/>
      <c r="E565" s="25"/>
      <c r="F565" s="25">
        <v>384</v>
      </c>
      <c r="G565" s="25">
        <v>388</v>
      </c>
      <c r="H565" s="25">
        <v>392</v>
      </c>
      <c r="I565" s="25">
        <v>392</v>
      </c>
      <c r="O565" t="e">
        <f>(O563-3*O562)/O564</f>
        <v>#DIV/0!</v>
      </c>
    </row>
    <row r="566" spans="1:16" ht="15.75" customHeight="1" x14ac:dyDescent="0.35">
      <c r="B566" s="20" t="s">
        <v>250</v>
      </c>
      <c r="C566" s="26">
        <v>0.23611111111111113</v>
      </c>
      <c r="D566" s="26">
        <v>0.31944444444444448</v>
      </c>
      <c r="E566" s="26">
        <v>0.4236111111111111</v>
      </c>
      <c r="F566" s="26">
        <f>E566+'Lookup Tables'!$N$1</f>
        <v>0.44444444444444442</v>
      </c>
      <c r="G566" s="26">
        <f>F566+'Lookup Tables'!$N$1</f>
        <v>0.46527777777777773</v>
      </c>
      <c r="H566" s="26">
        <f>G566+'Lookup Tables'!$N$1</f>
        <v>0.48611111111111105</v>
      </c>
      <c r="I566" s="26">
        <f>H566+'Lookup Tables'!$N$1</f>
        <v>0.50694444444444442</v>
      </c>
      <c r="N566">
        <f>MAX(F563:M563)-O566</f>
        <v>23</v>
      </c>
      <c r="O566" t="str">
        <f>RIGHT(E563,3)</f>
        <v>374</v>
      </c>
    </row>
    <row r="567" spans="1:16" ht="15.75" customHeight="1" x14ac:dyDescent="0.35">
      <c r="B567" s="20" t="s">
        <v>251</v>
      </c>
      <c r="C567" s="27">
        <v>0.2</v>
      </c>
      <c r="D567" s="27">
        <v>0.5</v>
      </c>
      <c r="E567" s="27"/>
      <c r="F567" s="27"/>
      <c r="G567" s="27"/>
      <c r="H567" s="27"/>
      <c r="I567" s="27"/>
      <c r="N567" t="str">
        <f xml:space="preserve">  N566 &amp; " degrees this time"</f>
        <v>23 degrees this time</v>
      </c>
    </row>
    <row r="568" spans="1:16" ht="15.75" customHeight="1" x14ac:dyDescent="0.35">
      <c r="B568" s="20" t="s">
        <v>252</v>
      </c>
      <c r="C568" s="27">
        <v>0.9</v>
      </c>
      <c r="D568" s="27">
        <v>0.8</v>
      </c>
      <c r="E568" s="27">
        <v>0.7</v>
      </c>
      <c r="F568" s="27"/>
      <c r="G568" s="27">
        <v>0.5</v>
      </c>
      <c r="H568" s="27"/>
      <c r="I568" s="27"/>
    </row>
    <row r="569" spans="1:16" ht="15.75" customHeight="1" x14ac:dyDescent="0.35">
      <c r="B569" s="20"/>
      <c r="D569" s="11"/>
      <c r="E569" s="11"/>
      <c r="F569" s="28"/>
      <c r="H569" s="1"/>
      <c r="I569" s="1"/>
    </row>
    <row r="570" spans="1:16" ht="15.75" customHeight="1" x14ac:dyDescent="0.35">
      <c r="C570" s="1"/>
      <c r="G570" s="1" t="s">
        <v>253</v>
      </c>
      <c r="K570" s="12"/>
      <c r="L570" s="9"/>
      <c r="M570" s="9"/>
    </row>
    <row r="571" spans="1:16" ht="15.75" customHeight="1" x14ac:dyDescent="0.35">
      <c r="B571" s="20"/>
      <c r="G571" s="1"/>
      <c r="H571" s="1"/>
      <c r="K571" s="9"/>
      <c r="L571" s="9"/>
      <c r="M571" s="9"/>
    </row>
    <row r="572" spans="1:16" ht="15.75" customHeight="1" x14ac:dyDescent="0.35">
      <c r="B572" s="20"/>
      <c r="G572" s="1"/>
      <c r="H572" s="1"/>
      <c r="K572" s="9" t="s">
        <v>254</v>
      </c>
      <c r="L572" s="9"/>
      <c r="M572" s="9"/>
    </row>
    <row r="573" spans="1:16" ht="15.75" customHeight="1" x14ac:dyDescent="0.35">
      <c r="B573" s="9"/>
      <c r="C573" s="9"/>
      <c r="D573" s="9"/>
      <c r="E573" s="9"/>
      <c r="F573" s="12"/>
      <c r="G573" s="12"/>
      <c r="H573" s="12"/>
      <c r="I573" s="12"/>
      <c r="J573" s="12"/>
      <c r="K573" s="12"/>
      <c r="L573" s="1"/>
    </row>
    <row r="574" spans="1:16" ht="15.75" customHeight="1" x14ac:dyDescent="0.35">
      <c r="B574" s="13"/>
      <c r="C574" s="13"/>
      <c r="D574" s="15"/>
      <c r="F574" s="33" t="s">
        <v>282</v>
      </c>
      <c r="H574" s="14" t="s">
        <v>255</v>
      </c>
      <c r="I574" s="14"/>
    </row>
    <row r="575" spans="1:16" x14ac:dyDescent="0.35">
      <c r="B575" s="13" t="s">
        <v>5</v>
      </c>
      <c r="C575" s="13" t="s">
        <v>1</v>
      </c>
      <c r="D575" s="15" t="str">
        <f>VLOOKUP(A576,Inventory!$A$4:$K$1139,7)</f>
        <v xml:space="preserve">Sweet Marias                       </v>
      </c>
      <c r="F575" s="13" t="s">
        <v>235</v>
      </c>
      <c r="G575" s="16"/>
      <c r="H575" s="14" t="s">
        <v>256</v>
      </c>
    </row>
    <row r="576" spans="1:16" x14ac:dyDescent="0.35">
      <c r="A576">
        <v>173</v>
      </c>
      <c r="B576" s="5">
        <v>45179</v>
      </c>
      <c r="C576" s="15" t="str">
        <f>VLOOKUP(A576,Inventory!$A$4:$K$1139,2)</f>
        <v>Costa Rica La Pradera SWP Decaf 2022</v>
      </c>
      <c r="F576" s="18" t="s">
        <v>257</v>
      </c>
      <c r="G576" s="2" t="s">
        <v>238</v>
      </c>
      <c r="P576" s="8"/>
    </row>
    <row r="577" spans="1:16" x14ac:dyDescent="0.35">
      <c r="H577" s="2" t="s">
        <v>258</v>
      </c>
    </row>
    <row r="578" spans="1:16" x14ac:dyDescent="0.35">
      <c r="C578" s="11" t="s">
        <v>240</v>
      </c>
      <c r="D578" s="11" t="s">
        <v>241</v>
      </c>
      <c r="E578" s="11">
        <v>370</v>
      </c>
      <c r="F578" s="11">
        <v>374</v>
      </c>
      <c r="G578" s="11">
        <v>381</v>
      </c>
      <c r="H578" s="11">
        <v>388</v>
      </c>
      <c r="I578" s="11"/>
      <c r="J578" s="11"/>
      <c r="K578" s="11"/>
      <c r="L578" s="11"/>
    </row>
    <row r="579" spans="1:16" ht="15.75" customHeight="1" x14ac:dyDescent="0.35">
      <c r="B579" s="20" t="s">
        <v>242</v>
      </c>
      <c r="C579" s="21"/>
      <c r="D579" s="22" t="s">
        <v>243</v>
      </c>
      <c r="E579" s="23" t="s">
        <v>244</v>
      </c>
      <c r="F579" s="23" t="s">
        <v>245</v>
      </c>
      <c r="G579" s="23" t="s">
        <v>246</v>
      </c>
      <c r="H579" s="23" t="s">
        <v>247</v>
      </c>
      <c r="I579" s="23" t="s">
        <v>259</v>
      </c>
      <c r="J579" s="23" t="s">
        <v>260</v>
      </c>
      <c r="K579" s="23" t="s">
        <v>261</v>
      </c>
      <c r="O579" s="4"/>
    </row>
    <row r="580" spans="1:16" ht="1" customHeight="1" x14ac:dyDescent="0.35">
      <c r="B580" s="24" t="s">
        <v>249</v>
      </c>
      <c r="C580" s="25">
        <v>320</v>
      </c>
      <c r="D580" s="25">
        <v>350</v>
      </c>
      <c r="E580" s="25">
        <v>377</v>
      </c>
      <c r="F580" s="25">
        <v>384</v>
      </c>
      <c r="G580" s="25">
        <v>388</v>
      </c>
      <c r="H580" s="25">
        <v>392</v>
      </c>
      <c r="I580" s="25">
        <v>395</v>
      </c>
      <c r="J580" s="25">
        <v>415</v>
      </c>
      <c r="K580" s="25">
        <v>415</v>
      </c>
      <c r="O580" t="e">
        <f>(O578-3*O577)/O579</f>
        <v>#DIV/0!</v>
      </c>
    </row>
    <row r="581" spans="1:16" ht="15.75" customHeight="1" x14ac:dyDescent="0.35">
      <c r="B581" s="20" t="s">
        <v>250</v>
      </c>
      <c r="C581" s="26">
        <v>0.22916666666666666</v>
      </c>
      <c r="D581" s="26">
        <v>0.3125</v>
      </c>
      <c r="E581" s="26">
        <v>0.43402777777777773</v>
      </c>
      <c r="F581" s="26">
        <f>E581+'Lookup Tables'!$N$1</f>
        <v>0.45486111111111105</v>
      </c>
      <c r="G581" s="26">
        <f>F581+'Lookup Tables'!$N$1</f>
        <v>0.47569444444444436</v>
      </c>
      <c r="H581" s="26">
        <f>G581+'Lookup Tables'!$N$1</f>
        <v>0.49652777777777768</v>
      </c>
      <c r="I581" s="26">
        <f>H581+'Lookup Tables'!$N$1</f>
        <v>0.51736111111111105</v>
      </c>
      <c r="J581" s="26">
        <f>I581+'Lookup Tables'!$M$1</f>
        <v>0.52777777777777768</v>
      </c>
      <c r="K581" s="26">
        <f>J581+'Lookup Tables'!$M$1</f>
        <v>0.53819444444444431</v>
      </c>
      <c r="N581">
        <f>MAX(F578:M578)-O581</f>
        <v>18</v>
      </c>
      <c r="O581" t="str">
        <f>RIGHT(E578,3)</f>
        <v>370</v>
      </c>
    </row>
    <row r="582" spans="1:16" ht="15.75" customHeight="1" x14ac:dyDescent="0.35">
      <c r="B582" s="20" t="s">
        <v>251</v>
      </c>
      <c r="C582" s="27">
        <v>0.2</v>
      </c>
      <c r="D582" s="27">
        <v>0.5</v>
      </c>
      <c r="E582" s="27"/>
      <c r="F582" s="27"/>
      <c r="G582" s="27"/>
      <c r="H582" s="27"/>
      <c r="I582" s="27"/>
      <c r="J582" s="27"/>
      <c r="K582" s="25"/>
      <c r="N582" t="str">
        <f xml:space="preserve">  N581 &amp; " degrees this time"</f>
        <v>18 degrees this time</v>
      </c>
    </row>
    <row r="583" spans="1:16" ht="15.75" customHeight="1" x14ac:dyDescent="0.35">
      <c r="B583" s="20" t="s">
        <v>252</v>
      </c>
      <c r="C583" s="27">
        <v>0.9</v>
      </c>
      <c r="D583" s="27">
        <v>0.7</v>
      </c>
      <c r="E583" s="27">
        <v>0.6</v>
      </c>
      <c r="F583" s="27"/>
      <c r="G583" s="27"/>
      <c r="H583" s="27"/>
      <c r="I583" s="27"/>
      <c r="J583" s="27"/>
      <c r="K583" s="27"/>
    </row>
    <row r="584" spans="1:16" ht="15.75" customHeight="1" x14ac:dyDescent="0.35">
      <c r="B584" s="20"/>
      <c r="D584" s="11"/>
      <c r="E584" s="11"/>
      <c r="F584" s="28"/>
      <c r="H584" s="1"/>
    </row>
    <row r="585" spans="1:16" ht="15.75" customHeight="1" x14ac:dyDescent="0.35">
      <c r="B585" s="1" t="s">
        <v>262</v>
      </c>
      <c r="F585" t="s">
        <v>263</v>
      </c>
      <c r="G585" s="1"/>
      <c r="K585" s="12"/>
      <c r="L585" s="9"/>
      <c r="M585" s="9"/>
    </row>
    <row r="586" spans="1:16" ht="15.75" customHeight="1" x14ac:dyDescent="0.35">
      <c r="B586" s="20" t="s">
        <v>264</v>
      </c>
      <c r="D586" s="29"/>
      <c r="F586" t="s">
        <v>265</v>
      </c>
      <c r="G586" s="1"/>
      <c r="H586" s="1"/>
      <c r="K586" s="9" t="s">
        <v>266</v>
      </c>
      <c r="L586" s="9"/>
      <c r="M586" s="9"/>
    </row>
    <row r="587" spans="1:16" ht="15.75" customHeight="1" x14ac:dyDescent="0.35">
      <c r="B587" s="20" t="s">
        <v>267</v>
      </c>
      <c r="F587" t="s">
        <v>268</v>
      </c>
      <c r="G587" s="1"/>
      <c r="H587" s="1"/>
      <c r="K587" s="9" t="s">
        <v>254</v>
      </c>
      <c r="L587" s="9"/>
      <c r="M587" s="9"/>
    </row>
    <row r="588" spans="1:16" ht="15.75" customHeight="1" x14ac:dyDescent="0.35">
      <c r="B588" s="9"/>
      <c r="C588" s="9"/>
      <c r="D588" s="9"/>
      <c r="E588" s="9"/>
      <c r="F588" s="12"/>
      <c r="G588" s="12"/>
      <c r="H588" s="12"/>
      <c r="I588" s="12"/>
      <c r="J588" s="12"/>
      <c r="K588" s="12"/>
      <c r="L588" s="1"/>
    </row>
    <row r="589" spans="1:16" ht="15.75" customHeight="1" x14ac:dyDescent="0.35">
      <c r="B589" s="13"/>
      <c r="C589" s="13"/>
      <c r="D589" s="13"/>
      <c r="E589" s="13"/>
      <c r="F589" s="33" t="s">
        <v>282</v>
      </c>
      <c r="G589" s="13"/>
      <c r="I589" s="14"/>
    </row>
    <row r="590" spans="1:16" x14ac:dyDescent="0.35">
      <c r="B590" s="13" t="s">
        <v>5</v>
      </c>
      <c r="C590" s="13" t="s">
        <v>1</v>
      </c>
      <c r="D590" s="15" t="str">
        <f>VLOOKUP(A591,Inventory!$A$4:$K$1139,7)</f>
        <v xml:space="preserve">Sweet Marias                       </v>
      </c>
      <c r="F590" s="13" t="s">
        <v>235</v>
      </c>
      <c r="G590" s="16"/>
      <c r="H590" s="14" t="s">
        <v>236</v>
      </c>
      <c r="L590" s="17"/>
      <c r="M590" s="17"/>
    </row>
    <row r="591" spans="1:16" x14ac:dyDescent="0.35">
      <c r="A591">
        <v>174</v>
      </c>
      <c r="B591" s="5">
        <v>45179</v>
      </c>
      <c r="C591" s="15" t="str">
        <f>VLOOKUP(A591,Inventory!$A$4:$K$1139,2)</f>
        <v>Ethiopia Organic Yebuna Terara SWP Decaf 2022</v>
      </c>
      <c r="F591" s="18" t="s">
        <v>237</v>
      </c>
      <c r="G591" s="2" t="s">
        <v>238</v>
      </c>
      <c r="L591" s="17"/>
      <c r="M591" s="17"/>
      <c r="P591" s="8"/>
    </row>
    <row r="592" spans="1:16" x14ac:dyDescent="0.35">
      <c r="I592" s="2" t="s">
        <v>239</v>
      </c>
      <c r="J592" s="1" t="s">
        <v>16</v>
      </c>
      <c r="L592" s="19"/>
      <c r="M592" s="19"/>
    </row>
    <row r="593" spans="1:16" x14ac:dyDescent="0.35">
      <c r="C593" s="11" t="s">
        <v>240</v>
      </c>
      <c r="D593" s="11" t="s">
        <v>241</v>
      </c>
      <c r="E593" s="11">
        <v>374</v>
      </c>
      <c r="F593" s="11">
        <v>381</v>
      </c>
      <c r="G593" s="11">
        <v>388</v>
      </c>
      <c r="H593" s="11">
        <v>396</v>
      </c>
      <c r="I593" s="11">
        <v>399</v>
      </c>
      <c r="J593" s="11"/>
      <c r="K593" s="11"/>
      <c r="L593" s="11"/>
    </row>
    <row r="594" spans="1:16" ht="15.75" customHeight="1" x14ac:dyDescent="0.35">
      <c r="B594" s="20" t="s">
        <v>242</v>
      </c>
      <c r="C594" s="30"/>
      <c r="D594" s="30"/>
      <c r="E594" s="23" t="s">
        <v>244</v>
      </c>
      <c r="F594" s="23" t="s">
        <v>245</v>
      </c>
      <c r="G594" s="23" t="s">
        <v>246</v>
      </c>
      <c r="H594" s="23" t="s">
        <v>247</v>
      </c>
      <c r="I594" s="23" t="s">
        <v>248</v>
      </c>
      <c r="O594" s="4"/>
    </row>
    <row r="595" spans="1:16" ht="1" customHeight="1" x14ac:dyDescent="0.35">
      <c r="B595" s="24" t="s">
        <v>249</v>
      </c>
      <c r="C595" s="25">
        <v>320</v>
      </c>
      <c r="D595" s="25">
        <v>350</v>
      </c>
      <c r="E595" s="25">
        <v>377</v>
      </c>
      <c r="F595" s="25">
        <v>384</v>
      </c>
      <c r="G595" s="25">
        <v>388</v>
      </c>
      <c r="H595" s="25">
        <v>392</v>
      </c>
      <c r="I595" s="25">
        <v>392</v>
      </c>
      <c r="O595" t="e">
        <f>(O593-3*O592)/O594</f>
        <v>#DIV/0!</v>
      </c>
    </row>
    <row r="596" spans="1:16" ht="15.75" customHeight="1" x14ac:dyDescent="0.35">
      <c r="B596" s="20" t="s">
        <v>250</v>
      </c>
      <c r="C596" s="26">
        <v>0.24652777777777779</v>
      </c>
      <c r="D596" s="26">
        <v>0.3298611111111111</v>
      </c>
      <c r="E596" s="26">
        <v>0.4375</v>
      </c>
      <c r="F596" s="26">
        <f>E596+'Lookup Tables'!$N$1</f>
        <v>0.45833333333333331</v>
      </c>
      <c r="G596" s="26">
        <f>F596+'Lookup Tables'!$N$1</f>
        <v>0.47916666666666663</v>
      </c>
      <c r="H596" s="26">
        <f>G596+'Lookup Tables'!$N$1</f>
        <v>0.49999999999999994</v>
      </c>
      <c r="I596" s="26">
        <f>H596+'Lookup Tables'!$M$1</f>
        <v>0.51041666666666663</v>
      </c>
      <c r="N596">
        <f>MAX(F593:M593)-O596</f>
        <v>25</v>
      </c>
      <c r="O596" t="str">
        <f>RIGHT(E593,3)</f>
        <v>374</v>
      </c>
    </row>
    <row r="597" spans="1:16" ht="15.75" customHeight="1" x14ac:dyDescent="0.35">
      <c r="B597" s="20" t="s">
        <v>251</v>
      </c>
      <c r="C597" s="27">
        <v>0.2</v>
      </c>
      <c r="D597" s="27">
        <v>0.5</v>
      </c>
      <c r="E597" s="27"/>
      <c r="F597" s="27"/>
      <c r="G597" s="27"/>
      <c r="H597" s="27"/>
      <c r="I597" s="27"/>
      <c r="N597" t="str">
        <f xml:space="preserve">  N596 &amp; " degrees this time"</f>
        <v>25 degrees this time</v>
      </c>
    </row>
    <row r="598" spans="1:16" ht="15.75" customHeight="1" x14ac:dyDescent="0.35">
      <c r="B598" s="20" t="s">
        <v>252</v>
      </c>
      <c r="C598" s="27">
        <v>0.9</v>
      </c>
      <c r="D598" s="27">
        <v>0.8</v>
      </c>
      <c r="E598" s="27">
        <v>0.7</v>
      </c>
      <c r="F598" s="27"/>
      <c r="G598" s="27">
        <v>0.5</v>
      </c>
      <c r="H598" s="27"/>
      <c r="I598" s="27"/>
    </row>
    <row r="599" spans="1:16" ht="15.75" customHeight="1" x14ac:dyDescent="0.35">
      <c r="B599" s="20"/>
      <c r="D599" s="11"/>
      <c r="E599" s="11"/>
      <c r="F599" s="28"/>
      <c r="H599" s="1"/>
      <c r="I599" s="1"/>
    </row>
    <row r="600" spans="1:16" ht="15.75" customHeight="1" x14ac:dyDescent="0.35">
      <c r="C600" s="1"/>
      <c r="G600" s="1" t="s">
        <v>253</v>
      </c>
      <c r="K600" s="12"/>
      <c r="L600" s="9"/>
      <c r="M600" s="9"/>
    </row>
    <row r="601" spans="1:16" ht="15.75" customHeight="1" x14ac:dyDescent="0.35">
      <c r="B601" s="20"/>
      <c r="G601" s="1"/>
      <c r="H601" s="1"/>
      <c r="K601" s="9"/>
      <c r="L601" s="9"/>
      <c r="M601" s="9"/>
    </row>
    <row r="602" spans="1:16" ht="15.75" customHeight="1" x14ac:dyDescent="0.35">
      <c r="B602" s="20"/>
      <c r="G602" s="1"/>
      <c r="H602" s="1"/>
      <c r="K602" s="9" t="s">
        <v>254</v>
      </c>
      <c r="L602" s="9"/>
      <c r="M602" s="9"/>
    </row>
    <row r="603" spans="1:16" ht="15.75" customHeight="1" x14ac:dyDescent="0.35">
      <c r="B603" s="9"/>
      <c r="C603" s="9"/>
      <c r="D603" s="9"/>
      <c r="E603" s="9"/>
      <c r="F603" s="12"/>
      <c r="G603" s="12"/>
      <c r="H603" s="12"/>
      <c r="I603" s="12"/>
      <c r="J603" s="12"/>
      <c r="K603" s="12"/>
      <c r="L603" s="1"/>
    </row>
    <row r="604" spans="1:16" ht="15.75" customHeight="1" x14ac:dyDescent="0.35">
      <c r="B604" s="13"/>
      <c r="C604" s="13"/>
      <c r="D604" s="15"/>
      <c r="F604" s="33" t="s">
        <v>282</v>
      </c>
      <c r="H604" s="14" t="s">
        <v>255</v>
      </c>
      <c r="I604" s="14"/>
    </row>
    <row r="605" spans="1:16" x14ac:dyDescent="0.35">
      <c r="B605" s="13" t="s">
        <v>5</v>
      </c>
      <c r="C605" s="13" t="s">
        <v>1</v>
      </c>
      <c r="D605" s="15" t="str">
        <f>VLOOKUP(A606,Inventory!$A$4:$K$1139,7)</f>
        <v xml:space="preserve">Sweet Marias                       </v>
      </c>
      <c r="F605" s="13" t="s">
        <v>235</v>
      </c>
      <c r="G605" s="16"/>
      <c r="H605" s="14" t="s">
        <v>256</v>
      </c>
    </row>
    <row r="606" spans="1:16" x14ac:dyDescent="0.35">
      <c r="A606">
        <v>174</v>
      </c>
      <c r="B606" s="5">
        <v>45179</v>
      </c>
      <c r="C606" s="15" t="str">
        <f>VLOOKUP(A606,Inventory!$A$4:$K$1139,2)</f>
        <v>Ethiopia Organic Yebuna Terara SWP Decaf 2022</v>
      </c>
      <c r="F606" s="18" t="s">
        <v>257</v>
      </c>
      <c r="G606" s="2" t="s">
        <v>238</v>
      </c>
      <c r="P606" s="8"/>
    </row>
    <row r="607" spans="1:16" x14ac:dyDescent="0.35">
      <c r="H607" s="2" t="s">
        <v>258</v>
      </c>
    </row>
    <row r="608" spans="1:16" x14ac:dyDescent="0.35">
      <c r="C608" s="11" t="s">
        <v>240</v>
      </c>
      <c r="D608" s="11" t="s">
        <v>241</v>
      </c>
      <c r="E608" s="11">
        <v>369</v>
      </c>
      <c r="F608" s="11">
        <v>375</v>
      </c>
      <c r="G608" s="11">
        <v>383</v>
      </c>
      <c r="H608" s="11">
        <v>388</v>
      </c>
      <c r="I608" s="11">
        <v>395</v>
      </c>
      <c r="J608" s="11"/>
      <c r="K608" s="11"/>
      <c r="L608" s="11"/>
    </row>
    <row r="609" spans="1:16" ht="15.75" customHeight="1" x14ac:dyDescent="0.35">
      <c r="B609" s="20" t="s">
        <v>242</v>
      </c>
      <c r="C609" s="30"/>
      <c r="D609" s="30"/>
      <c r="E609" s="23" t="s">
        <v>244</v>
      </c>
      <c r="F609" s="23" t="s">
        <v>245</v>
      </c>
      <c r="G609" s="23" t="s">
        <v>246</v>
      </c>
      <c r="H609" s="23" t="s">
        <v>247</v>
      </c>
      <c r="I609" s="23" t="s">
        <v>259</v>
      </c>
      <c r="J609" s="23" t="s">
        <v>260</v>
      </c>
      <c r="K609" s="23" t="s">
        <v>261</v>
      </c>
      <c r="O609" s="4"/>
    </row>
    <row r="610" spans="1:16" ht="1" customHeight="1" x14ac:dyDescent="0.35">
      <c r="B610" s="24" t="s">
        <v>249</v>
      </c>
      <c r="C610" s="25">
        <v>320</v>
      </c>
      <c r="D610" s="25">
        <v>350</v>
      </c>
      <c r="E610" s="25">
        <v>377</v>
      </c>
      <c r="F610" s="25">
        <v>384</v>
      </c>
      <c r="G610" s="25">
        <v>388</v>
      </c>
      <c r="H610" s="25">
        <v>392</v>
      </c>
      <c r="I610" s="25">
        <v>395</v>
      </c>
      <c r="J610" s="25">
        <v>415</v>
      </c>
      <c r="K610" s="25">
        <v>415</v>
      </c>
      <c r="O610" t="e">
        <f>(O608-3*O607)/O609</f>
        <v>#DIV/0!</v>
      </c>
    </row>
    <row r="611" spans="1:16" ht="15.75" customHeight="1" x14ac:dyDescent="0.35">
      <c r="B611" s="20" t="s">
        <v>250</v>
      </c>
      <c r="C611" s="26">
        <v>0.22916666666666666</v>
      </c>
      <c r="D611" s="26">
        <v>0.3125</v>
      </c>
      <c r="E611" s="26">
        <v>0.42708333333333331</v>
      </c>
      <c r="F611" s="26">
        <f>E611+'Lookup Tables'!$N$1</f>
        <v>0.44791666666666663</v>
      </c>
      <c r="G611" s="26">
        <f>F611+'Lookup Tables'!$N$1</f>
        <v>0.46874999999999994</v>
      </c>
      <c r="H611" s="26">
        <f>G611+'Lookup Tables'!$N$1</f>
        <v>0.48958333333333326</v>
      </c>
      <c r="I611" s="26">
        <f>H611+'Lookup Tables'!$N$1</f>
        <v>0.51041666666666663</v>
      </c>
      <c r="J611" s="26">
        <f>I611+'Lookup Tables'!$M$1</f>
        <v>0.52083333333333326</v>
      </c>
      <c r="K611" s="26">
        <f>J611+'Lookup Tables'!$M$1</f>
        <v>0.53124999999999989</v>
      </c>
      <c r="N611">
        <f>MAX(F608:M608)-O611</f>
        <v>26</v>
      </c>
      <c r="O611" t="str">
        <f>RIGHT(E608,3)</f>
        <v>369</v>
      </c>
    </row>
    <row r="612" spans="1:16" ht="15.75" customHeight="1" x14ac:dyDescent="0.35">
      <c r="B612" s="20" t="s">
        <v>251</v>
      </c>
      <c r="C612" s="27">
        <v>0.2</v>
      </c>
      <c r="D612" s="27">
        <v>0.5</v>
      </c>
      <c r="E612" s="27"/>
      <c r="F612" s="27"/>
      <c r="G612" s="27"/>
      <c r="H612" s="27"/>
      <c r="I612" s="27"/>
      <c r="J612" s="27"/>
      <c r="K612" s="25"/>
      <c r="N612" t="str">
        <f xml:space="preserve">  N611 &amp; " degrees this time"</f>
        <v>26 degrees this time</v>
      </c>
    </row>
    <row r="613" spans="1:16" ht="15.75" customHeight="1" x14ac:dyDescent="0.35">
      <c r="B613" s="20" t="s">
        <v>252</v>
      </c>
      <c r="C613" s="27">
        <v>0.9</v>
      </c>
      <c r="D613" s="27">
        <v>0.7</v>
      </c>
      <c r="E613" s="27">
        <v>0.6</v>
      </c>
      <c r="F613" s="27"/>
      <c r="G613" s="27"/>
      <c r="H613" s="27"/>
      <c r="I613" s="27"/>
      <c r="J613" s="27"/>
      <c r="K613" s="27"/>
    </row>
    <row r="614" spans="1:16" ht="15.75" customHeight="1" x14ac:dyDescent="0.35">
      <c r="B614" s="20"/>
      <c r="D614" s="11"/>
      <c r="E614" s="11"/>
      <c r="F614" s="28"/>
      <c r="H614" s="1"/>
    </row>
    <row r="615" spans="1:16" ht="15.75" customHeight="1" x14ac:dyDescent="0.35">
      <c r="B615" s="1" t="s">
        <v>262</v>
      </c>
      <c r="F615" t="s">
        <v>263</v>
      </c>
      <c r="G615" s="1"/>
      <c r="K615" s="12"/>
      <c r="L615" s="9"/>
      <c r="M615" s="9"/>
    </row>
    <row r="616" spans="1:16" ht="15.75" customHeight="1" x14ac:dyDescent="0.35">
      <c r="B616" s="20" t="s">
        <v>264</v>
      </c>
      <c r="D616" s="29"/>
      <c r="F616" t="s">
        <v>265</v>
      </c>
      <c r="G616" s="1"/>
      <c r="H616" s="1"/>
      <c r="K616" s="9" t="s">
        <v>266</v>
      </c>
      <c r="L616" s="9"/>
      <c r="M616" s="9"/>
    </row>
    <row r="617" spans="1:16" ht="15.75" customHeight="1" x14ac:dyDescent="0.35">
      <c r="B617" s="20" t="s">
        <v>267</v>
      </c>
      <c r="F617" t="s">
        <v>268</v>
      </c>
      <c r="G617" s="1"/>
      <c r="H617" s="1"/>
      <c r="K617" s="9" t="s">
        <v>254</v>
      </c>
      <c r="L617" s="9"/>
      <c r="M617" s="9"/>
    </row>
    <row r="618" spans="1:16" ht="15.75" customHeight="1" x14ac:dyDescent="0.35">
      <c r="B618" s="9"/>
      <c r="C618" s="9"/>
      <c r="D618" s="9"/>
      <c r="E618" s="9"/>
      <c r="F618" s="12"/>
      <c r="G618" s="12"/>
      <c r="H618" s="12"/>
      <c r="I618" s="12"/>
      <c r="J618" s="12"/>
      <c r="K618" s="12"/>
      <c r="L618" s="1"/>
    </row>
    <row r="619" spans="1:16" ht="15.75" customHeight="1" x14ac:dyDescent="0.35">
      <c r="B619" s="13"/>
      <c r="C619" s="13"/>
      <c r="D619" s="15"/>
      <c r="G619" s="15"/>
      <c r="H619" s="14" t="s">
        <v>255</v>
      </c>
      <c r="I619" s="1"/>
      <c r="J619" s="2"/>
      <c r="K619" s="2"/>
      <c r="L619" s="8"/>
    </row>
    <row r="620" spans="1:16" x14ac:dyDescent="0.35">
      <c r="B620" s="13" t="s">
        <v>5</v>
      </c>
      <c r="C620" s="13" t="s">
        <v>1</v>
      </c>
      <c r="D620" s="15" t="str">
        <f>VLOOKUP(A621,Inventory!$A$4:$K$1139,7)</f>
        <v xml:space="preserve">Klatch                             </v>
      </c>
      <c r="F620" s="13" t="s">
        <v>235</v>
      </c>
      <c r="G620" s="16"/>
      <c r="L620" s="8"/>
      <c r="M620" s="17"/>
    </row>
    <row r="621" spans="1:16" x14ac:dyDescent="0.35">
      <c r="A621">
        <v>167</v>
      </c>
      <c r="B621" s="5">
        <v>45172</v>
      </c>
      <c r="C621" s="15" t="str">
        <f>VLOOKUP(A621,Inventory!$A$4:$K$1139,2)</f>
        <v>Uganda Sipi Falls Organic 2020</v>
      </c>
      <c r="E621" s="11"/>
      <c r="F621" s="31" t="s">
        <v>291</v>
      </c>
      <c r="G621" s="2" t="s">
        <v>286</v>
      </c>
      <c r="M621" s="17"/>
      <c r="P621" s="8"/>
    </row>
    <row r="622" spans="1:16" x14ac:dyDescent="0.35">
      <c r="D622" s="11"/>
      <c r="E622" s="11"/>
      <c r="G622" s="16"/>
      <c r="L622" s="19"/>
      <c r="M622" s="19"/>
    </row>
    <row r="623" spans="1:16" x14ac:dyDescent="0.35">
      <c r="B623" s="20"/>
      <c r="C623" s="11" t="s">
        <v>240</v>
      </c>
      <c r="D623" s="11" t="s">
        <v>241</v>
      </c>
      <c r="E623" s="11">
        <v>367</v>
      </c>
      <c r="F623" s="11">
        <v>377</v>
      </c>
      <c r="G623" s="11">
        <v>382</v>
      </c>
      <c r="H623" s="11">
        <v>390</v>
      </c>
      <c r="I623" s="11">
        <v>397</v>
      </c>
      <c r="J623" s="11"/>
      <c r="K623" s="11"/>
      <c r="L623" s="11"/>
    </row>
    <row r="624" spans="1:16" ht="15.75" customHeight="1" x14ac:dyDescent="0.35">
      <c r="B624" s="20" t="s">
        <v>242</v>
      </c>
      <c r="C624" s="30"/>
      <c r="D624" s="30"/>
      <c r="E624" s="23" t="s">
        <v>244</v>
      </c>
      <c r="F624" s="23" t="s">
        <v>245</v>
      </c>
      <c r="G624" s="23" t="s">
        <v>246</v>
      </c>
      <c r="H624" s="23" t="s">
        <v>247</v>
      </c>
      <c r="I624" s="23" t="s">
        <v>259</v>
      </c>
      <c r="O624" s="4"/>
    </row>
    <row r="625" spans="1:16" ht="1" customHeight="1" x14ac:dyDescent="0.35">
      <c r="B625" s="24" t="s">
        <v>249</v>
      </c>
      <c r="C625" s="25"/>
      <c r="D625" s="25"/>
      <c r="E625" s="25"/>
      <c r="F625" s="25"/>
      <c r="G625" s="25"/>
      <c r="H625" s="25"/>
      <c r="I625" s="25"/>
      <c r="O625" t="e">
        <f>(O623-3*O622)/O624</f>
        <v>#DIV/0!</v>
      </c>
    </row>
    <row r="626" spans="1:16" ht="15.75" customHeight="1" x14ac:dyDescent="0.35">
      <c r="B626" s="20" t="s">
        <v>250</v>
      </c>
      <c r="C626" s="26">
        <v>0.19791666666666666</v>
      </c>
      <c r="D626" s="26">
        <v>0.27777777777777779</v>
      </c>
      <c r="E626" s="26">
        <v>0.36805555555555558</v>
      </c>
      <c r="F626" s="26">
        <f>E626+'Lookup Tables'!$N$1</f>
        <v>0.3888888888888889</v>
      </c>
      <c r="G626" s="26">
        <f>F626+'Lookup Tables'!$N$1</f>
        <v>0.40972222222222221</v>
      </c>
      <c r="H626" s="26">
        <f>G626+'Lookup Tables'!$N$1</f>
        <v>0.43055555555555552</v>
      </c>
      <c r="I626" s="26">
        <f>H626+'Lookup Tables'!$N$1</f>
        <v>0.45138888888888884</v>
      </c>
      <c r="N626">
        <f>MAX(F623:M623)-O626</f>
        <v>30</v>
      </c>
      <c r="O626" t="str">
        <f>RIGHT(E623,3)</f>
        <v>367</v>
      </c>
    </row>
    <row r="627" spans="1:16" ht="15.75" customHeight="1" x14ac:dyDescent="0.35">
      <c r="B627" s="20" t="s">
        <v>251</v>
      </c>
      <c r="C627" s="27">
        <v>0.2</v>
      </c>
      <c r="D627" s="27">
        <v>0.5</v>
      </c>
      <c r="E627" s="27"/>
      <c r="F627" s="27"/>
      <c r="G627" s="27" t="s">
        <v>274</v>
      </c>
      <c r="H627" s="25"/>
      <c r="I627" s="27"/>
      <c r="N627" t="str">
        <f xml:space="preserve">  N626 &amp; " degrees this time"</f>
        <v>30 degrees this time</v>
      </c>
    </row>
    <row r="628" spans="1:16" ht="15.75" customHeight="1" x14ac:dyDescent="0.35">
      <c r="B628" s="20" t="s">
        <v>252</v>
      </c>
      <c r="C628" s="27">
        <v>0.9</v>
      </c>
      <c r="D628" s="27">
        <v>0.8</v>
      </c>
      <c r="E628" s="27">
        <v>0.6</v>
      </c>
      <c r="F628" s="27">
        <v>0.4</v>
      </c>
      <c r="G628" s="27" t="s">
        <v>274</v>
      </c>
      <c r="H628" s="27"/>
      <c r="I628" s="27" t="s">
        <v>275</v>
      </c>
    </row>
    <row r="629" spans="1:16" ht="15.75" customHeight="1" x14ac:dyDescent="0.35">
      <c r="B629" s="20"/>
      <c r="D629" s="11"/>
      <c r="E629" s="11"/>
      <c r="F629" s="11"/>
      <c r="H629" s="35"/>
    </row>
    <row r="630" spans="1:16" ht="15.75" customHeight="1" x14ac:dyDescent="0.35">
      <c r="B630" s="20"/>
      <c r="G630" s="1" t="s">
        <v>304</v>
      </c>
      <c r="K630" s="32"/>
      <c r="L630" s="9"/>
      <c r="M630" s="9"/>
    </row>
    <row r="631" spans="1:16" ht="15.75" customHeight="1" x14ac:dyDescent="0.35">
      <c r="B631" s="20"/>
      <c r="G631" s="1"/>
      <c r="H631" s="1"/>
      <c r="K631" s="32"/>
      <c r="L631" s="9"/>
      <c r="M631" s="9"/>
    </row>
    <row r="632" spans="1:16" ht="15.75" customHeight="1" x14ac:dyDescent="0.35">
      <c r="B632" s="20"/>
      <c r="G632" s="1"/>
      <c r="H632" s="1"/>
      <c r="K632" s="9" t="s">
        <v>300</v>
      </c>
      <c r="L632" s="9"/>
      <c r="M632" s="9"/>
    </row>
    <row r="633" spans="1:16" ht="15.75" customHeight="1" x14ac:dyDescent="0.35">
      <c r="B633" s="9"/>
      <c r="C633" s="9"/>
      <c r="D633" s="9"/>
      <c r="E633" s="9"/>
      <c r="F633" s="12"/>
      <c r="G633" s="12"/>
      <c r="H633" s="12"/>
      <c r="I633" s="12"/>
      <c r="J633" s="12"/>
      <c r="K633" s="12"/>
      <c r="L633" s="1"/>
    </row>
    <row r="634" spans="1:16" ht="15.75" customHeight="1" x14ac:dyDescent="0.35">
      <c r="B634" s="13"/>
      <c r="C634" s="13"/>
      <c r="D634" s="13"/>
      <c r="E634" s="13"/>
      <c r="F634" s="13"/>
      <c r="G634" s="13"/>
      <c r="I634" s="13"/>
    </row>
    <row r="635" spans="1:16" x14ac:dyDescent="0.35">
      <c r="B635" s="13" t="s">
        <v>5</v>
      </c>
      <c r="C635" s="13" t="s">
        <v>1</v>
      </c>
      <c r="D635" s="15" t="str">
        <f>VLOOKUP(A636,Inventory!$A$4:$K$1139,7)</f>
        <v xml:space="preserve">Klatch                             </v>
      </c>
      <c r="F635" s="13" t="s">
        <v>235</v>
      </c>
      <c r="G635" s="16"/>
      <c r="L635" s="17"/>
      <c r="M635" s="17"/>
    </row>
    <row r="636" spans="1:16" x14ac:dyDescent="0.35">
      <c r="A636">
        <v>161</v>
      </c>
      <c r="B636" s="5">
        <v>45172</v>
      </c>
      <c r="C636" s="15" t="str">
        <f>VLOOKUP(A636,Inventory!$A$4:$K$1139,2)</f>
        <v>Colombia Nariño Organic 2020</v>
      </c>
      <c r="E636" s="11"/>
      <c r="F636" s="34" t="s">
        <v>279</v>
      </c>
      <c r="G636" s="2" t="s">
        <v>286</v>
      </c>
      <c r="L636" s="17"/>
      <c r="M636" s="17"/>
      <c r="P636" s="8"/>
    </row>
    <row r="637" spans="1:16" x14ac:dyDescent="0.35">
      <c r="D637" s="11"/>
      <c r="E637" s="11"/>
      <c r="G637" s="16"/>
      <c r="L637" s="19"/>
      <c r="M637" s="19"/>
    </row>
    <row r="638" spans="1:16" x14ac:dyDescent="0.35">
      <c r="B638" s="20"/>
      <c r="C638" s="11" t="s">
        <v>240</v>
      </c>
      <c r="D638" s="11" t="s">
        <v>272</v>
      </c>
      <c r="E638" s="11">
        <v>368</v>
      </c>
      <c r="F638" s="11">
        <v>376</v>
      </c>
      <c r="G638" s="11">
        <v>383</v>
      </c>
      <c r="H638" s="11">
        <v>390</v>
      </c>
      <c r="I638" s="11">
        <v>394</v>
      </c>
      <c r="J638" s="11"/>
      <c r="K638" s="11"/>
      <c r="L638" s="11"/>
    </row>
    <row r="639" spans="1:16" ht="15.75" customHeight="1" x14ac:dyDescent="0.35">
      <c r="B639" s="20" t="s">
        <v>242</v>
      </c>
      <c r="C639" s="21"/>
      <c r="D639" s="22" t="s">
        <v>294</v>
      </c>
      <c r="E639" s="23" t="s">
        <v>244</v>
      </c>
      <c r="F639" s="23" t="s">
        <v>245</v>
      </c>
      <c r="G639" s="23" t="s">
        <v>246</v>
      </c>
      <c r="H639" s="23" t="s">
        <v>247</v>
      </c>
      <c r="I639" s="23" t="s">
        <v>248</v>
      </c>
      <c r="O639" s="4"/>
    </row>
    <row r="640" spans="1:16" ht="1" customHeight="1" x14ac:dyDescent="0.35">
      <c r="B640" s="24" t="s">
        <v>249</v>
      </c>
      <c r="C640" s="25"/>
      <c r="D640" s="25"/>
      <c r="E640" s="25"/>
      <c r="F640" s="25"/>
      <c r="G640" s="25"/>
      <c r="H640" s="25"/>
      <c r="I640" s="25"/>
      <c r="O640" t="e">
        <f>(O638-3*O637)/O639</f>
        <v>#DIV/0!</v>
      </c>
    </row>
    <row r="641" spans="1:16" ht="15.75" customHeight="1" x14ac:dyDescent="0.35">
      <c r="B641" s="20" t="s">
        <v>250</v>
      </c>
      <c r="C641" s="26">
        <v>0.21875</v>
      </c>
      <c r="D641" s="26">
        <v>0.29166666666666669</v>
      </c>
      <c r="E641" s="26">
        <v>0.36805555555555558</v>
      </c>
      <c r="F641" s="26">
        <f>E641+'Lookup Tables'!$N$1</f>
        <v>0.3888888888888889</v>
      </c>
      <c r="G641" s="26">
        <f>F641+'Lookup Tables'!$N$1</f>
        <v>0.40972222222222221</v>
      </c>
      <c r="H641" s="26">
        <f>G641+'Lookup Tables'!$N$1</f>
        <v>0.43055555555555552</v>
      </c>
      <c r="I641" s="26">
        <f>H641+'Lookup Tables'!$S$1</f>
        <v>0.44097222222222221</v>
      </c>
      <c r="N641">
        <f>MAX(F638:M638)-O641</f>
        <v>26</v>
      </c>
      <c r="O641" t="str">
        <f>RIGHT(E638,3)</f>
        <v>368</v>
      </c>
    </row>
    <row r="642" spans="1:16" ht="15.75" customHeight="1" x14ac:dyDescent="0.35">
      <c r="B642" s="20" t="s">
        <v>251</v>
      </c>
      <c r="C642" s="27">
        <v>0.2</v>
      </c>
      <c r="D642" s="27">
        <v>0.5</v>
      </c>
      <c r="E642" s="27"/>
      <c r="F642" s="27"/>
      <c r="G642" s="27"/>
      <c r="H642" s="27"/>
      <c r="I642" s="25"/>
      <c r="N642" t="str">
        <f xml:space="preserve">  N641 &amp; " degrees this time"</f>
        <v>26 degrees this time</v>
      </c>
    </row>
    <row r="643" spans="1:16" ht="15.75" customHeight="1" x14ac:dyDescent="0.35">
      <c r="B643" s="20" t="s">
        <v>252</v>
      </c>
      <c r="C643" s="27">
        <v>0.9</v>
      </c>
      <c r="D643" s="27">
        <v>0.8</v>
      </c>
      <c r="E643" s="27">
        <v>0.7</v>
      </c>
      <c r="F643" s="27">
        <v>0.6</v>
      </c>
      <c r="G643" s="27">
        <v>0.5</v>
      </c>
      <c r="H643" s="27"/>
      <c r="I643" s="27" t="s">
        <v>275</v>
      </c>
    </row>
    <row r="644" spans="1:16" ht="15.75" customHeight="1" x14ac:dyDescent="0.35">
      <c r="B644" s="20"/>
      <c r="D644" s="11"/>
      <c r="E644" s="11"/>
      <c r="F644" s="11"/>
      <c r="G644" s="40"/>
      <c r="H644" s="35"/>
    </row>
    <row r="645" spans="1:16" ht="15.75" customHeight="1" x14ac:dyDescent="0.35">
      <c r="B645" s="20"/>
      <c r="G645" s="1" t="s">
        <v>331</v>
      </c>
      <c r="K645" s="32" t="s">
        <v>332</v>
      </c>
      <c r="L645" s="9"/>
      <c r="M645" s="9"/>
    </row>
    <row r="646" spans="1:16" ht="15.75" customHeight="1" x14ac:dyDescent="0.35">
      <c r="B646" s="30"/>
      <c r="G646" s="1"/>
      <c r="H646" s="1"/>
      <c r="K646" s="32"/>
      <c r="L646" s="9"/>
      <c r="M646" s="9"/>
    </row>
    <row r="647" spans="1:16" ht="15.75" customHeight="1" x14ac:dyDescent="0.35">
      <c r="B647" s="30"/>
      <c r="G647" s="1"/>
      <c r="H647" s="1"/>
      <c r="K647" s="9" t="s">
        <v>300</v>
      </c>
      <c r="L647" s="9"/>
      <c r="M647" s="9"/>
    </row>
    <row r="648" spans="1:16" ht="15.75" customHeight="1" x14ac:dyDescent="0.35">
      <c r="B648" s="9"/>
      <c r="C648" s="9"/>
      <c r="D648" s="9"/>
      <c r="E648" s="9"/>
      <c r="F648" s="12"/>
      <c r="G648" s="12"/>
      <c r="H648" s="12"/>
      <c r="I648" s="12"/>
      <c r="J648" s="12"/>
      <c r="K648" s="12"/>
      <c r="L648" s="1"/>
    </row>
    <row r="649" spans="1:16" ht="15.75" customHeight="1" x14ac:dyDescent="0.35">
      <c r="B649" s="13"/>
      <c r="C649" s="13"/>
      <c r="D649" s="15"/>
      <c r="F649" s="33" t="s">
        <v>341</v>
      </c>
      <c r="G649" s="13"/>
      <c r="H649" s="14" t="s">
        <v>255</v>
      </c>
      <c r="I649" s="13"/>
      <c r="J649" s="1"/>
    </row>
    <row r="650" spans="1:16" x14ac:dyDescent="0.35">
      <c r="B650" s="13" t="s">
        <v>5</v>
      </c>
      <c r="C650" s="13" t="s">
        <v>1</v>
      </c>
      <c r="D650" s="15" t="str">
        <f>VLOOKUP(A651,Inventory!$A$4:$K$1139,7)</f>
        <v xml:space="preserve">Klatch                             </v>
      </c>
      <c r="F650" s="13" t="s">
        <v>235</v>
      </c>
      <c r="G650" s="16"/>
      <c r="L650" s="17"/>
      <c r="M650" s="17"/>
    </row>
    <row r="651" spans="1:16" x14ac:dyDescent="0.35">
      <c r="A651">
        <v>163</v>
      </c>
      <c r="B651" s="5">
        <v>45172</v>
      </c>
      <c r="C651" s="15" t="str">
        <f>VLOOKUP(A651,Inventory!$A$4:$K$1139,2)</f>
        <v>Guatemala Antigua Hunapu Micro Lot 2020</v>
      </c>
      <c r="E651" s="11"/>
      <c r="F651" s="31" t="s">
        <v>354</v>
      </c>
      <c r="G651" s="2" t="s">
        <v>286</v>
      </c>
      <c r="L651" s="17"/>
      <c r="M651" s="17"/>
      <c r="P651" s="8"/>
    </row>
    <row r="652" spans="1:16" x14ac:dyDescent="0.35">
      <c r="B652" s="13"/>
      <c r="C652" s="13"/>
      <c r="D652" s="11"/>
      <c r="F652" s="13"/>
      <c r="G652" s="16"/>
      <c r="I652" s="1"/>
      <c r="L652" s="19"/>
      <c r="M652" s="19"/>
    </row>
    <row r="653" spans="1:16" x14ac:dyDescent="0.35">
      <c r="B653" s="20"/>
      <c r="C653" s="11" t="s">
        <v>240</v>
      </c>
      <c r="D653" s="11" t="s">
        <v>241</v>
      </c>
      <c r="E653" s="11">
        <v>361</v>
      </c>
      <c r="F653" s="11">
        <v>368</v>
      </c>
      <c r="G653" s="11">
        <v>372</v>
      </c>
      <c r="H653" s="11">
        <v>377</v>
      </c>
      <c r="I653" s="11">
        <v>385</v>
      </c>
      <c r="J653" s="11"/>
      <c r="K653" s="11"/>
      <c r="L653" s="11"/>
    </row>
    <row r="654" spans="1:16" ht="15.75" customHeight="1" x14ac:dyDescent="0.35">
      <c r="B654" s="20" t="s">
        <v>242</v>
      </c>
      <c r="C654" s="30"/>
      <c r="D654" s="30"/>
      <c r="E654" s="23" t="s">
        <v>244</v>
      </c>
      <c r="F654" s="23" t="s">
        <v>245</v>
      </c>
      <c r="G654" s="23" t="s">
        <v>246</v>
      </c>
      <c r="H654" s="23" t="s">
        <v>247</v>
      </c>
      <c r="I654" s="23" t="s">
        <v>259</v>
      </c>
      <c r="J654" s="23" t="s">
        <v>260</v>
      </c>
      <c r="O654" s="4"/>
    </row>
    <row r="655" spans="1:16" ht="1" customHeight="1" x14ac:dyDescent="0.35">
      <c r="B655" s="24" t="s">
        <v>249</v>
      </c>
      <c r="C655" s="25"/>
      <c r="D655" s="25"/>
      <c r="E655" s="25"/>
      <c r="F655" s="25"/>
      <c r="G655" s="25"/>
      <c r="H655" s="25"/>
      <c r="I655" s="25"/>
      <c r="J655" s="25"/>
      <c r="O655" t="e">
        <f>(O653-3*O652)/O654</f>
        <v>#DIV/0!</v>
      </c>
    </row>
    <row r="656" spans="1:16" ht="15.75" customHeight="1" x14ac:dyDescent="0.35">
      <c r="B656" s="20" t="s">
        <v>250</v>
      </c>
      <c r="C656" s="26">
        <v>0.19444444444444445</v>
      </c>
      <c r="D656" s="26">
        <v>0.27083333333333331</v>
      </c>
      <c r="E656" s="26">
        <v>0.35069444444444442</v>
      </c>
      <c r="F656" s="26">
        <f>E656+'Lookup Tables'!$N$1</f>
        <v>0.37152777777777773</v>
      </c>
      <c r="G656" s="26">
        <f>F656+'Lookup Tables'!$N$1</f>
        <v>0.39236111111111105</v>
      </c>
      <c r="H656" s="26">
        <f>G656+'Lookup Tables'!$N$1</f>
        <v>0.41319444444444436</v>
      </c>
      <c r="I656" s="26">
        <f>H656+'Lookup Tables'!$N$1</f>
        <v>0.43402777777777768</v>
      </c>
      <c r="J656" s="26">
        <f>I656+'Lookup Tables'!$S$1</f>
        <v>0.44444444444444436</v>
      </c>
      <c r="N656">
        <f>MAX(F653:M653)-O656</f>
        <v>24</v>
      </c>
      <c r="O656" t="str">
        <f>RIGHT(E653,3)</f>
        <v>361</v>
      </c>
    </row>
    <row r="657" spans="1:16" ht="15.75" customHeight="1" x14ac:dyDescent="0.35">
      <c r="B657" s="20" t="s">
        <v>251</v>
      </c>
      <c r="C657" s="27">
        <v>0.2</v>
      </c>
      <c r="D657" s="27">
        <v>0.5</v>
      </c>
      <c r="E657" s="27"/>
      <c r="F657" s="27"/>
      <c r="G657" s="27"/>
      <c r="H657" s="27"/>
      <c r="I657" s="25"/>
      <c r="J657" s="27"/>
      <c r="N657" t="str">
        <f xml:space="preserve">  N656 &amp; " degrees this time"</f>
        <v>24 degrees this time</v>
      </c>
    </row>
    <row r="658" spans="1:16" ht="15.75" customHeight="1" x14ac:dyDescent="0.35">
      <c r="B658" s="20" t="s">
        <v>252</v>
      </c>
      <c r="C658" s="27">
        <v>0.9</v>
      </c>
      <c r="D658" s="27">
        <v>0.7</v>
      </c>
      <c r="E658" s="27"/>
      <c r="F658" s="27"/>
      <c r="G658" s="27">
        <v>0.6</v>
      </c>
      <c r="H658" s="27">
        <v>0.4</v>
      </c>
      <c r="I658" s="27" t="s">
        <v>275</v>
      </c>
      <c r="J658" s="27" t="s">
        <v>275</v>
      </c>
    </row>
    <row r="659" spans="1:16" ht="15.75" customHeight="1" x14ac:dyDescent="0.35">
      <c r="B659" s="20"/>
      <c r="D659" s="37"/>
      <c r="E659" s="11"/>
      <c r="F659" s="11"/>
      <c r="G659" s="40"/>
      <c r="H659" s="11"/>
      <c r="I659" s="11"/>
      <c r="J659" s="37"/>
      <c r="K659" s="32" t="s">
        <v>306</v>
      </c>
      <c r="L659" s="9"/>
      <c r="M659" s="9"/>
    </row>
    <row r="660" spans="1:16" ht="15.75" customHeight="1" x14ac:dyDescent="0.35">
      <c r="G660" s="1" t="s">
        <v>307</v>
      </c>
      <c r="H660" s="1"/>
      <c r="K660" s="32"/>
      <c r="L660" s="9"/>
      <c r="M660" s="9"/>
    </row>
    <row r="661" spans="1:16" ht="15.75" customHeight="1" x14ac:dyDescent="0.35">
      <c r="B661" s="20"/>
      <c r="G661" s="1"/>
      <c r="H661" s="1"/>
      <c r="K661" s="32" t="s">
        <v>309</v>
      </c>
      <c r="L661" s="9"/>
      <c r="M661" s="9"/>
    </row>
    <row r="662" spans="1:16" ht="15.75" customHeight="1" x14ac:dyDescent="0.35">
      <c r="B662" s="20"/>
      <c r="G662" s="1"/>
      <c r="H662" s="1"/>
      <c r="K662" s="9" t="s">
        <v>300</v>
      </c>
      <c r="L662" s="9"/>
      <c r="M662" s="9"/>
    </row>
    <row r="663" spans="1:16" ht="15.75" customHeight="1" x14ac:dyDescent="0.35">
      <c r="B663" s="9"/>
      <c r="C663" s="9"/>
      <c r="D663" s="9"/>
      <c r="E663" s="9"/>
      <c r="F663" s="12"/>
      <c r="G663" s="12"/>
      <c r="H663" s="12"/>
      <c r="I663" s="12"/>
      <c r="J663" s="12"/>
      <c r="K663" s="12"/>
      <c r="L663" s="1"/>
    </row>
    <row r="664" spans="1:16" ht="15.75" customHeight="1" x14ac:dyDescent="0.35">
      <c r="B664" s="13"/>
      <c r="C664" s="13"/>
      <c r="D664" s="15"/>
    </row>
    <row r="665" spans="1:16" x14ac:dyDescent="0.35">
      <c r="B665" s="13" t="s">
        <v>5</v>
      </c>
      <c r="C665" s="13" t="s">
        <v>1</v>
      </c>
      <c r="D665" s="15" t="str">
        <f>VLOOKUP(A666,Inventory!$A$4:$K$1139,7)</f>
        <v xml:space="preserve">GCBC                               </v>
      </c>
      <c r="F665" s="13" t="s">
        <v>235</v>
      </c>
      <c r="G665" s="16"/>
      <c r="L665" s="17"/>
      <c r="M665" s="17"/>
    </row>
    <row r="666" spans="1:16" x14ac:dyDescent="0.35">
      <c r="A666">
        <v>160</v>
      </c>
      <c r="B666" s="5">
        <v>45172</v>
      </c>
      <c r="C666" s="15" t="str">
        <f>VLOOKUP(A666,Inventory!$A$4:$K$1139,2)</f>
        <v>Sumatra Mandheling Takengon 2020</v>
      </c>
      <c r="E666" s="11"/>
      <c r="F666" s="34" t="s">
        <v>279</v>
      </c>
      <c r="G666" s="2" t="s">
        <v>270</v>
      </c>
      <c r="J666" s="8"/>
      <c r="L666" s="17"/>
      <c r="M666" s="17"/>
      <c r="P666" s="8"/>
    </row>
    <row r="667" spans="1:16" x14ac:dyDescent="0.35">
      <c r="B667" s="13"/>
      <c r="C667" s="13"/>
      <c r="D667" s="11"/>
      <c r="F667" s="13"/>
      <c r="G667" s="16"/>
      <c r="K667" s="1"/>
      <c r="L667" s="19"/>
      <c r="M667" s="19"/>
    </row>
    <row r="668" spans="1:16" x14ac:dyDescent="0.35">
      <c r="B668" s="20"/>
      <c r="C668" s="11" t="s">
        <v>240</v>
      </c>
      <c r="D668" s="11" t="s">
        <v>301</v>
      </c>
      <c r="E668" s="11">
        <v>372</v>
      </c>
      <c r="F668" s="11">
        <v>379</v>
      </c>
      <c r="G668" s="11">
        <v>386</v>
      </c>
      <c r="H668" s="11">
        <v>391</v>
      </c>
      <c r="I668" s="11">
        <v>396</v>
      </c>
      <c r="J668" s="11" t="s">
        <v>355</v>
      </c>
      <c r="K668" s="11"/>
      <c r="L668" s="11"/>
    </row>
    <row r="669" spans="1:16" ht="15.75" customHeight="1" x14ac:dyDescent="0.35">
      <c r="B669" s="20" t="s">
        <v>242</v>
      </c>
      <c r="C669" s="21"/>
      <c r="D669" s="22" t="s">
        <v>302</v>
      </c>
      <c r="E669" s="23" t="s">
        <v>244</v>
      </c>
      <c r="F669" s="23" t="s">
        <v>245</v>
      </c>
      <c r="G669" s="23" t="s">
        <v>246</v>
      </c>
      <c r="H669" s="23" t="s">
        <v>247</v>
      </c>
      <c r="I669" s="23" t="s">
        <v>259</v>
      </c>
      <c r="O669" s="4"/>
    </row>
    <row r="670" spans="1:16" ht="1" customHeight="1" x14ac:dyDescent="0.35">
      <c r="B670" s="24" t="s">
        <v>249</v>
      </c>
      <c r="C670" s="25"/>
      <c r="D670" s="25"/>
      <c r="E670" s="25"/>
      <c r="F670" s="25"/>
      <c r="G670" s="25"/>
      <c r="H670" s="25"/>
      <c r="I670" s="25"/>
      <c r="O670" t="e">
        <f>(O668-3*O667)/O669</f>
        <v>#DIV/0!</v>
      </c>
    </row>
    <row r="671" spans="1:16" ht="15.75" customHeight="1" x14ac:dyDescent="0.35">
      <c r="B671" s="20" t="s">
        <v>250</v>
      </c>
      <c r="C671" s="26">
        <v>0.22916666666666666</v>
      </c>
      <c r="D671" s="26">
        <v>0.3263888888888889</v>
      </c>
      <c r="E671" s="26">
        <v>0.40277777777777773</v>
      </c>
      <c r="F671" s="26">
        <f>E671+'Lookup Tables'!$N$1</f>
        <v>0.42361111111111105</v>
      </c>
      <c r="G671" s="26">
        <f>F671+'Lookup Tables'!$N$1</f>
        <v>0.44444444444444436</v>
      </c>
      <c r="H671" s="26">
        <f>G671+'Lookup Tables'!$N$1</f>
        <v>0.46527777777777768</v>
      </c>
      <c r="I671" s="26">
        <f>H671+'Lookup Tables'!$N$1</f>
        <v>0.48611111111111099</v>
      </c>
      <c r="N671">
        <f>MAX(F668:M668)-O671</f>
        <v>24</v>
      </c>
      <c r="O671" t="str">
        <f>RIGHT(E668,3)</f>
        <v>372</v>
      </c>
    </row>
    <row r="672" spans="1:16" ht="15.75" customHeight="1" x14ac:dyDescent="0.35">
      <c r="B672" s="20" t="s">
        <v>251</v>
      </c>
      <c r="C672" s="27">
        <v>0.2</v>
      </c>
      <c r="D672" s="27">
        <v>0.5</v>
      </c>
      <c r="E672" s="27"/>
      <c r="F672" s="27"/>
      <c r="G672" s="27"/>
      <c r="H672" s="27"/>
      <c r="I672" s="27"/>
      <c r="N672" t="str">
        <f xml:space="preserve">  N671 &amp; " degrees this time"</f>
        <v>24 degrees this time</v>
      </c>
    </row>
    <row r="673" spans="1:16" ht="15.75" customHeight="1" x14ac:dyDescent="0.35">
      <c r="B673" s="20" t="s">
        <v>252</v>
      </c>
      <c r="C673" s="27">
        <v>0.9</v>
      </c>
      <c r="D673" s="27">
        <v>0.7</v>
      </c>
      <c r="E673" s="27">
        <v>0.4</v>
      </c>
      <c r="F673" s="27" t="s">
        <v>274</v>
      </c>
      <c r="G673" s="27"/>
      <c r="H673" s="27"/>
      <c r="I673" s="27"/>
    </row>
    <row r="674" spans="1:16" ht="15.75" customHeight="1" x14ac:dyDescent="0.35">
      <c r="B674" s="20"/>
      <c r="D674" s="11"/>
      <c r="E674" s="11"/>
      <c r="F674" s="11"/>
      <c r="G674" s="11"/>
      <c r="H674" s="11"/>
      <c r="I674" s="11"/>
      <c r="J674" s="37"/>
      <c r="K674" s="37"/>
      <c r="L674" s="35"/>
    </row>
    <row r="675" spans="1:16" ht="15.75" customHeight="1" x14ac:dyDescent="0.35">
      <c r="B675" s="38"/>
      <c r="E675" s="11"/>
      <c r="G675" s="1" t="s">
        <v>303</v>
      </c>
      <c r="H675" s="1"/>
      <c r="K675" s="32"/>
      <c r="L675" s="9"/>
      <c r="M675" s="9"/>
    </row>
    <row r="676" spans="1:16" ht="15.75" customHeight="1" x14ac:dyDescent="0.35">
      <c r="B676" s="20"/>
      <c r="G676" s="1"/>
      <c r="H676" s="1"/>
      <c r="K676" s="32"/>
      <c r="L676" s="9"/>
      <c r="M676" s="9"/>
    </row>
    <row r="677" spans="1:16" ht="15.75" customHeight="1" x14ac:dyDescent="0.35">
      <c r="B677" s="20"/>
      <c r="G677" s="1"/>
      <c r="H677" s="1"/>
      <c r="K677" s="9" t="s">
        <v>300</v>
      </c>
      <c r="L677" s="9"/>
      <c r="M677" s="9"/>
    </row>
    <row r="678" spans="1:16" ht="15.75" customHeight="1" x14ac:dyDescent="0.35">
      <c r="B678" s="9"/>
      <c r="C678" s="9"/>
      <c r="D678" s="9"/>
      <c r="E678" s="9"/>
      <c r="F678" s="12"/>
      <c r="G678" s="12"/>
      <c r="H678" s="12"/>
      <c r="I678" s="12"/>
      <c r="J678" s="12"/>
      <c r="K678" s="12"/>
      <c r="L678" s="1"/>
    </row>
    <row r="679" spans="1:16" ht="15.75" customHeight="1" x14ac:dyDescent="0.35">
      <c r="B679" s="13"/>
      <c r="C679" s="13"/>
      <c r="D679" s="13"/>
      <c r="E679" s="13"/>
      <c r="F679" s="33" t="s">
        <v>278</v>
      </c>
      <c r="G679" s="13"/>
      <c r="I679" s="14"/>
    </row>
    <row r="680" spans="1:16" x14ac:dyDescent="0.35">
      <c r="B680" s="13" t="s">
        <v>5</v>
      </c>
      <c r="C680" s="13" t="s">
        <v>1</v>
      </c>
      <c r="D680" s="15" t="str">
        <f>VLOOKUP(A681,Inventory!$A$4:$K$1139,7)</f>
        <v xml:space="preserve">Sweet Marias                       </v>
      </c>
      <c r="F680" s="13" t="s">
        <v>235</v>
      </c>
      <c r="G680" s="16"/>
      <c r="H680" s="14" t="s">
        <v>236</v>
      </c>
      <c r="L680" s="17"/>
      <c r="M680" s="17"/>
    </row>
    <row r="681" spans="1:16" x14ac:dyDescent="0.35">
      <c r="A681">
        <v>173</v>
      </c>
      <c r="B681" s="5">
        <v>45109</v>
      </c>
      <c r="C681" s="15" t="str">
        <f>VLOOKUP(A681,Inventory!$A$4:$K$1139,2)</f>
        <v>Costa Rica La Pradera SWP Decaf 2022</v>
      </c>
      <c r="F681" s="18" t="s">
        <v>237</v>
      </c>
      <c r="G681" s="2" t="s">
        <v>238</v>
      </c>
      <c r="L681" s="17"/>
      <c r="M681" s="17"/>
      <c r="P681" s="8"/>
    </row>
    <row r="682" spans="1:16" x14ac:dyDescent="0.35">
      <c r="I682" s="2" t="s">
        <v>239</v>
      </c>
      <c r="J682" s="1" t="s">
        <v>16</v>
      </c>
      <c r="L682" s="19"/>
      <c r="M682" s="19"/>
    </row>
    <row r="683" spans="1:16" x14ac:dyDescent="0.35">
      <c r="C683" s="11" t="s">
        <v>240</v>
      </c>
      <c r="D683" s="11" t="s">
        <v>241</v>
      </c>
      <c r="E683" s="11">
        <v>374</v>
      </c>
      <c r="F683" s="11">
        <v>380</v>
      </c>
      <c r="G683" s="11">
        <v>388</v>
      </c>
      <c r="H683" s="11">
        <v>397</v>
      </c>
      <c r="I683" s="11">
        <v>399</v>
      </c>
      <c r="J683" s="11" t="s">
        <v>356</v>
      </c>
      <c r="K683" s="11"/>
      <c r="L683" s="11"/>
    </row>
    <row r="684" spans="1:16" ht="15.75" customHeight="1" x14ac:dyDescent="0.35">
      <c r="B684" s="20" t="s">
        <v>242</v>
      </c>
      <c r="C684" s="21"/>
      <c r="D684" s="22" t="s">
        <v>243</v>
      </c>
      <c r="E684" s="23" t="s">
        <v>244</v>
      </c>
      <c r="F684" s="23" t="s">
        <v>245</v>
      </c>
      <c r="G684" s="23" t="s">
        <v>246</v>
      </c>
      <c r="H684" s="23" t="s">
        <v>247</v>
      </c>
      <c r="I684" s="23" t="s">
        <v>259</v>
      </c>
      <c r="O684" s="4"/>
    </row>
    <row r="685" spans="1:16" ht="1" customHeight="1" x14ac:dyDescent="0.35">
      <c r="B685" s="24" t="s">
        <v>249</v>
      </c>
      <c r="C685" s="25"/>
      <c r="D685" s="25"/>
      <c r="E685" s="25"/>
      <c r="F685" s="25">
        <v>384</v>
      </c>
      <c r="G685" s="25">
        <v>388</v>
      </c>
      <c r="H685" s="25">
        <v>392</v>
      </c>
      <c r="I685" s="25">
        <v>392</v>
      </c>
      <c r="O685" t="e">
        <f>(O683-3*O682)/O684</f>
        <v>#DIV/0!</v>
      </c>
    </row>
    <row r="686" spans="1:16" ht="15.75" customHeight="1" x14ac:dyDescent="0.35">
      <c r="B686" s="20" t="s">
        <v>250</v>
      </c>
      <c r="C686" s="26">
        <v>0.24652777777777779</v>
      </c>
      <c r="D686" s="26">
        <v>0.3263888888888889</v>
      </c>
      <c r="E686" s="26">
        <v>0.44097222222222227</v>
      </c>
      <c r="F686" s="26">
        <f>E686+'Lookup Tables'!$N$1</f>
        <v>0.46180555555555558</v>
      </c>
      <c r="G686" s="26">
        <f>F686+'Lookup Tables'!$N$1</f>
        <v>0.4826388888888889</v>
      </c>
      <c r="H686" s="26">
        <f>G686+'Lookup Tables'!$N$1</f>
        <v>0.50347222222222221</v>
      </c>
      <c r="I686" s="26">
        <f>H686+'Lookup Tables'!$N$1</f>
        <v>0.52430555555555558</v>
      </c>
      <c r="N686">
        <f>MAX(F683:M683)-O686</f>
        <v>25</v>
      </c>
      <c r="O686" t="str">
        <f>RIGHT(E683,3)</f>
        <v>374</v>
      </c>
    </row>
    <row r="687" spans="1:16" ht="15.75" customHeight="1" x14ac:dyDescent="0.35">
      <c r="B687" s="20" t="s">
        <v>251</v>
      </c>
      <c r="C687" s="27">
        <v>0.2</v>
      </c>
      <c r="D687" s="27">
        <v>0.5</v>
      </c>
      <c r="E687" s="27"/>
      <c r="F687" s="27"/>
      <c r="G687" s="27"/>
      <c r="H687" s="27"/>
      <c r="I687" s="27"/>
      <c r="N687" t="str">
        <f xml:space="preserve">  N686 &amp; " degrees this time"</f>
        <v>25 degrees this time</v>
      </c>
    </row>
    <row r="688" spans="1:16" ht="15.75" customHeight="1" x14ac:dyDescent="0.35">
      <c r="B688" s="20" t="s">
        <v>252</v>
      </c>
      <c r="C688" s="27">
        <v>0.9</v>
      </c>
      <c r="D688" s="27">
        <v>0.8</v>
      </c>
      <c r="E688" s="27">
        <v>0.7</v>
      </c>
      <c r="F688" s="27"/>
      <c r="G688" s="27">
        <v>0.5</v>
      </c>
      <c r="H688" s="27"/>
      <c r="I688" s="27"/>
    </row>
    <row r="689" spans="1:16" ht="15.75" customHeight="1" x14ac:dyDescent="0.35">
      <c r="B689" s="20"/>
      <c r="D689" s="11"/>
      <c r="E689" s="11"/>
      <c r="F689" s="28"/>
      <c r="H689" s="1"/>
      <c r="I689" s="1"/>
    </row>
    <row r="690" spans="1:16" ht="15.75" customHeight="1" x14ac:dyDescent="0.35">
      <c r="C690" s="1"/>
      <c r="G690" s="1" t="s">
        <v>253</v>
      </c>
      <c r="K690" s="12"/>
      <c r="L690" s="9"/>
      <c r="M690" s="9"/>
    </row>
    <row r="691" spans="1:16" ht="15.75" customHeight="1" x14ac:dyDescent="0.35">
      <c r="B691" s="20"/>
      <c r="G691" s="1"/>
      <c r="H691" s="1"/>
      <c r="K691" s="9"/>
      <c r="L691" s="9"/>
      <c r="M691" s="9"/>
    </row>
    <row r="692" spans="1:16" ht="15.75" customHeight="1" x14ac:dyDescent="0.35">
      <c r="B692" s="20"/>
      <c r="G692" s="1"/>
      <c r="H692" s="1"/>
      <c r="K692" s="9" t="s">
        <v>254</v>
      </c>
      <c r="L692" s="9"/>
      <c r="M692" s="9"/>
    </row>
    <row r="693" spans="1:16" ht="15.75" customHeight="1" x14ac:dyDescent="0.35">
      <c r="B693" s="9"/>
      <c r="C693" s="9"/>
      <c r="D693" s="9"/>
      <c r="E693" s="9"/>
      <c r="F693" s="12"/>
      <c r="G693" s="12"/>
      <c r="H693" s="12"/>
      <c r="I693" s="12"/>
      <c r="J693" s="12"/>
      <c r="K693" s="12"/>
      <c r="L693" s="1"/>
    </row>
    <row r="694" spans="1:16" ht="15.75" customHeight="1" x14ac:dyDescent="0.35">
      <c r="B694" s="13"/>
      <c r="C694" s="13"/>
      <c r="D694" s="15"/>
      <c r="F694" s="33" t="s">
        <v>278</v>
      </c>
      <c r="H694" s="14" t="s">
        <v>255</v>
      </c>
      <c r="I694" s="14"/>
    </row>
    <row r="695" spans="1:16" x14ac:dyDescent="0.35">
      <c r="B695" s="13" t="s">
        <v>5</v>
      </c>
      <c r="C695" s="13" t="s">
        <v>1</v>
      </c>
      <c r="D695" s="15" t="str">
        <f>VLOOKUP(A696,Inventory!$A$4:$K$1139,7)</f>
        <v xml:space="preserve">Sweet Marias                       </v>
      </c>
      <c r="F695" s="13" t="s">
        <v>235</v>
      </c>
      <c r="G695" s="16"/>
      <c r="H695" s="14" t="s">
        <v>256</v>
      </c>
    </row>
    <row r="696" spans="1:16" x14ac:dyDescent="0.35">
      <c r="A696">
        <v>173</v>
      </c>
      <c r="B696" s="5">
        <v>45109</v>
      </c>
      <c r="C696" s="15" t="str">
        <f>VLOOKUP(A696,Inventory!$A$4:$K$1139,2)</f>
        <v>Costa Rica La Pradera SWP Decaf 2022</v>
      </c>
      <c r="F696" s="18" t="s">
        <v>257</v>
      </c>
      <c r="G696" s="2" t="s">
        <v>238</v>
      </c>
      <c r="P696" s="8"/>
    </row>
    <row r="697" spans="1:16" x14ac:dyDescent="0.35">
      <c r="H697" s="2" t="s">
        <v>258</v>
      </c>
    </row>
    <row r="698" spans="1:16" x14ac:dyDescent="0.35">
      <c r="C698" s="11" t="s">
        <v>240</v>
      </c>
      <c r="D698" s="11" t="s">
        <v>241</v>
      </c>
      <c r="E698" s="11">
        <v>368</v>
      </c>
      <c r="F698" s="11">
        <v>374</v>
      </c>
      <c r="G698" s="11">
        <v>378</v>
      </c>
      <c r="H698" s="11">
        <v>385</v>
      </c>
      <c r="I698" s="11">
        <v>393</v>
      </c>
      <c r="J698" s="11"/>
      <c r="K698" s="11"/>
      <c r="L698" s="11"/>
    </row>
    <row r="699" spans="1:16" ht="15.75" customHeight="1" x14ac:dyDescent="0.35">
      <c r="B699" s="20" t="s">
        <v>242</v>
      </c>
      <c r="C699" s="21"/>
      <c r="D699" s="22" t="s">
        <v>243</v>
      </c>
      <c r="E699" s="23" t="s">
        <v>244</v>
      </c>
      <c r="F699" s="23" t="s">
        <v>245</v>
      </c>
      <c r="G699" s="23" t="s">
        <v>246</v>
      </c>
      <c r="H699" s="23" t="s">
        <v>247</v>
      </c>
      <c r="I699" s="23" t="s">
        <v>259</v>
      </c>
      <c r="J699" s="23" t="s">
        <v>260</v>
      </c>
      <c r="K699" s="23" t="s">
        <v>261</v>
      </c>
      <c r="O699" s="4"/>
    </row>
    <row r="700" spans="1:16" ht="1" customHeight="1" x14ac:dyDescent="0.35">
      <c r="B700" s="24" t="s">
        <v>249</v>
      </c>
      <c r="C700" s="25">
        <v>320</v>
      </c>
      <c r="D700" s="25">
        <v>350</v>
      </c>
      <c r="E700" s="25">
        <v>377</v>
      </c>
      <c r="F700" s="25">
        <v>384</v>
      </c>
      <c r="G700" s="25">
        <v>388</v>
      </c>
      <c r="H700" s="25">
        <v>392</v>
      </c>
      <c r="I700" s="25">
        <v>395</v>
      </c>
      <c r="J700" s="25">
        <v>415</v>
      </c>
      <c r="K700" s="25">
        <v>415</v>
      </c>
      <c r="O700" t="e">
        <f>(O698-3*O697)/O699</f>
        <v>#DIV/0!</v>
      </c>
    </row>
    <row r="701" spans="1:16" ht="15.75" customHeight="1" x14ac:dyDescent="0.35">
      <c r="B701" s="20" t="s">
        <v>250</v>
      </c>
      <c r="C701" s="26">
        <v>0.22569444444444445</v>
      </c>
      <c r="D701" s="26">
        <v>0.30902777777777779</v>
      </c>
      <c r="E701" s="26">
        <v>0.42708333333333331</v>
      </c>
      <c r="F701" s="26">
        <f>E701+'Lookup Tables'!$N$1</f>
        <v>0.44791666666666663</v>
      </c>
      <c r="G701" s="26">
        <f>F701+'Lookup Tables'!$N$1</f>
        <v>0.46874999999999994</v>
      </c>
      <c r="H701" s="26">
        <f>G701+'Lookup Tables'!$N$1</f>
        <v>0.48958333333333326</v>
      </c>
      <c r="I701" s="26">
        <f>H701+'Lookup Tables'!$N$1</f>
        <v>0.51041666666666663</v>
      </c>
      <c r="J701" s="26">
        <f>I701+'Lookup Tables'!$M$1</f>
        <v>0.52083333333333326</v>
      </c>
      <c r="K701" s="26">
        <f>J701+'Lookup Tables'!$M$1</f>
        <v>0.53124999999999989</v>
      </c>
      <c r="N701">
        <f>MAX(F698:M698)-O701</f>
        <v>25</v>
      </c>
      <c r="O701" t="str">
        <f>RIGHT(E698,3)</f>
        <v>368</v>
      </c>
    </row>
    <row r="702" spans="1:16" ht="15.75" customHeight="1" x14ac:dyDescent="0.35">
      <c r="B702" s="20" t="s">
        <v>251</v>
      </c>
      <c r="C702" s="27">
        <v>0.2</v>
      </c>
      <c r="D702" s="27">
        <v>0.5</v>
      </c>
      <c r="E702" s="27"/>
      <c r="F702" s="27"/>
      <c r="G702" s="27"/>
      <c r="H702" s="27"/>
      <c r="I702" s="27"/>
      <c r="J702" s="27"/>
      <c r="K702" s="25"/>
      <c r="N702" t="str">
        <f xml:space="preserve">  N701 &amp; " degrees this time"</f>
        <v>25 degrees this time</v>
      </c>
    </row>
    <row r="703" spans="1:16" ht="15.75" customHeight="1" x14ac:dyDescent="0.35">
      <c r="B703" s="20" t="s">
        <v>252</v>
      </c>
      <c r="C703" s="27">
        <v>0.9</v>
      </c>
      <c r="D703" s="27">
        <v>0.7</v>
      </c>
      <c r="E703" s="27">
        <v>0.6</v>
      </c>
      <c r="F703" s="27"/>
      <c r="G703" s="27"/>
      <c r="H703" s="27"/>
      <c r="I703" s="27"/>
      <c r="J703" s="27"/>
      <c r="K703" s="27"/>
    </row>
    <row r="704" spans="1:16" ht="15.75" customHeight="1" x14ac:dyDescent="0.35">
      <c r="B704" s="20"/>
      <c r="D704" s="11"/>
      <c r="E704" s="11"/>
      <c r="F704" s="28"/>
      <c r="H704" s="1"/>
    </row>
    <row r="705" spans="1:16" ht="15.75" customHeight="1" x14ac:dyDescent="0.35">
      <c r="B705" s="1" t="s">
        <v>262</v>
      </c>
      <c r="F705" t="s">
        <v>263</v>
      </c>
      <c r="G705" s="1"/>
      <c r="K705" s="12"/>
      <c r="L705" s="9"/>
      <c r="M705" s="9"/>
    </row>
    <row r="706" spans="1:16" ht="15.75" customHeight="1" x14ac:dyDescent="0.35">
      <c r="B706" s="20" t="s">
        <v>264</v>
      </c>
      <c r="D706" s="29"/>
      <c r="F706" t="s">
        <v>265</v>
      </c>
      <c r="G706" s="1"/>
      <c r="H706" s="1"/>
      <c r="K706" s="9" t="s">
        <v>266</v>
      </c>
      <c r="L706" s="9"/>
      <c r="M706" s="9"/>
    </row>
    <row r="707" spans="1:16" ht="15.75" customHeight="1" x14ac:dyDescent="0.35">
      <c r="B707" s="20" t="s">
        <v>267</v>
      </c>
      <c r="F707" t="s">
        <v>268</v>
      </c>
      <c r="G707" s="1"/>
      <c r="H707" s="1"/>
      <c r="K707" s="9" t="s">
        <v>254</v>
      </c>
      <c r="L707" s="9"/>
      <c r="M707" s="9"/>
    </row>
    <row r="708" spans="1:16" ht="15.75" customHeight="1" x14ac:dyDescent="0.35">
      <c r="B708" s="9"/>
      <c r="C708" s="9"/>
      <c r="D708" s="9"/>
      <c r="E708" s="9"/>
      <c r="F708" s="12"/>
      <c r="G708" s="12"/>
      <c r="H708" s="12"/>
      <c r="I708" s="12"/>
      <c r="J708" s="12"/>
      <c r="K708" s="12"/>
      <c r="L708" s="1"/>
    </row>
    <row r="709" spans="1:16" ht="15.75" customHeight="1" x14ac:dyDescent="0.35">
      <c r="B709" s="13"/>
      <c r="C709" s="13"/>
      <c r="D709" s="13"/>
      <c r="E709" s="13"/>
      <c r="F709" s="33" t="s">
        <v>278</v>
      </c>
      <c r="G709" s="13"/>
      <c r="I709" s="14"/>
    </row>
    <row r="710" spans="1:16" x14ac:dyDescent="0.35">
      <c r="B710" s="13" t="s">
        <v>5</v>
      </c>
      <c r="C710" s="13" t="s">
        <v>1</v>
      </c>
      <c r="D710" s="15" t="str">
        <f>VLOOKUP(A711,Inventory!$A$4:$K$1139,7)</f>
        <v xml:space="preserve">Sweet Marias                       </v>
      </c>
      <c r="F710" s="13" t="s">
        <v>235</v>
      </c>
      <c r="G710" s="16"/>
      <c r="H710" s="14" t="s">
        <v>236</v>
      </c>
      <c r="L710" s="17"/>
      <c r="M710" s="17"/>
    </row>
    <row r="711" spans="1:16" x14ac:dyDescent="0.35">
      <c r="A711">
        <v>174</v>
      </c>
      <c r="B711" s="5">
        <v>45109</v>
      </c>
      <c r="C711" s="15" t="str">
        <f>VLOOKUP(A711,Inventory!$A$4:$K$1139,2)</f>
        <v>Ethiopia Organic Yebuna Terara SWP Decaf 2022</v>
      </c>
      <c r="F711" s="18" t="s">
        <v>237</v>
      </c>
      <c r="G711" s="2" t="s">
        <v>238</v>
      </c>
      <c r="L711" s="17"/>
      <c r="M711" s="17"/>
      <c r="P711" s="8"/>
    </row>
    <row r="712" spans="1:16" x14ac:dyDescent="0.35">
      <c r="I712" s="2" t="s">
        <v>239</v>
      </c>
      <c r="J712" s="1" t="s">
        <v>16</v>
      </c>
      <c r="L712" s="19"/>
      <c r="M712" s="19"/>
    </row>
    <row r="713" spans="1:16" x14ac:dyDescent="0.35">
      <c r="C713" s="11" t="s">
        <v>240</v>
      </c>
      <c r="D713" s="11" t="s">
        <v>241</v>
      </c>
      <c r="E713" s="11">
        <v>374</v>
      </c>
      <c r="F713" s="11">
        <v>381</v>
      </c>
      <c r="G713" s="11">
        <v>388</v>
      </c>
      <c r="H713" s="11">
        <v>397</v>
      </c>
      <c r="I713" s="11">
        <v>399</v>
      </c>
      <c r="J713" s="11" t="s">
        <v>312</v>
      </c>
      <c r="K713" s="11"/>
      <c r="L713" s="11"/>
    </row>
    <row r="714" spans="1:16" ht="15.75" customHeight="1" x14ac:dyDescent="0.35">
      <c r="B714" s="20" t="s">
        <v>242</v>
      </c>
      <c r="C714" s="30"/>
      <c r="D714" s="30"/>
      <c r="E714" s="23" t="s">
        <v>244</v>
      </c>
      <c r="F714" s="23" t="s">
        <v>245</v>
      </c>
      <c r="G714" s="23" t="s">
        <v>246</v>
      </c>
      <c r="H714" s="23" t="s">
        <v>247</v>
      </c>
      <c r="I714" s="23" t="s">
        <v>259</v>
      </c>
      <c r="O714" s="4"/>
    </row>
    <row r="715" spans="1:16" ht="1" customHeight="1" x14ac:dyDescent="0.35">
      <c r="B715" s="24" t="s">
        <v>249</v>
      </c>
      <c r="C715" s="25">
        <v>320</v>
      </c>
      <c r="D715" s="25">
        <v>350</v>
      </c>
      <c r="E715" s="25">
        <v>377</v>
      </c>
      <c r="F715" s="25">
        <v>384</v>
      </c>
      <c r="G715" s="25">
        <v>388</v>
      </c>
      <c r="H715" s="25">
        <v>392</v>
      </c>
      <c r="I715" s="25">
        <v>392</v>
      </c>
      <c r="O715" t="e">
        <f>(O713-3*O712)/O714</f>
        <v>#DIV/0!</v>
      </c>
    </row>
    <row r="716" spans="1:16" ht="15.75" customHeight="1" x14ac:dyDescent="0.35">
      <c r="B716" s="20" t="s">
        <v>250</v>
      </c>
      <c r="C716" s="26">
        <v>0.24305555555555555</v>
      </c>
      <c r="D716" s="26">
        <v>0.3263888888888889</v>
      </c>
      <c r="E716" s="26">
        <v>0.4375</v>
      </c>
      <c r="F716" s="26">
        <f>E716+'Lookup Tables'!$N$1</f>
        <v>0.45833333333333331</v>
      </c>
      <c r="G716" s="26">
        <f>F716+'Lookup Tables'!$N$1</f>
        <v>0.47916666666666663</v>
      </c>
      <c r="H716" s="26">
        <f>G716+'Lookup Tables'!$N$1</f>
        <v>0.49999999999999994</v>
      </c>
      <c r="I716" s="26">
        <f>H716+'Lookup Tables'!$N$1</f>
        <v>0.52083333333333326</v>
      </c>
      <c r="N716">
        <f>MAX(F713:M713)-O716</f>
        <v>25</v>
      </c>
      <c r="O716" t="str">
        <f>RIGHT(E713,3)</f>
        <v>374</v>
      </c>
    </row>
    <row r="717" spans="1:16" ht="15.75" customHeight="1" x14ac:dyDescent="0.35">
      <c r="B717" s="20" t="s">
        <v>251</v>
      </c>
      <c r="C717" s="27">
        <v>0.2</v>
      </c>
      <c r="D717" s="27">
        <v>0.5</v>
      </c>
      <c r="E717" s="27"/>
      <c r="F717" s="27"/>
      <c r="G717" s="27"/>
      <c r="H717" s="27"/>
      <c r="I717" s="27"/>
      <c r="N717" t="str">
        <f xml:space="preserve">  N716 &amp; " degrees this time"</f>
        <v>25 degrees this time</v>
      </c>
    </row>
    <row r="718" spans="1:16" ht="15.75" customHeight="1" x14ac:dyDescent="0.35">
      <c r="B718" s="20" t="s">
        <v>252</v>
      </c>
      <c r="C718" s="27">
        <v>0.9</v>
      </c>
      <c r="D718" s="27">
        <v>0.8</v>
      </c>
      <c r="E718" s="27">
        <v>0.7</v>
      </c>
      <c r="F718" s="27"/>
      <c r="G718" s="27">
        <v>0.5</v>
      </c>
      <c r="H718" s="27"/>
      <c r="I718" s="27"/>
    </row>
    <row r="719" spans="1:16" ht="15.75" customHeight="1" x14ac:dyDescent="0.35">
      <c r="B719" s="20"/>
      <c r="D719" s="11"/>
      <c r="E719" s="11"/>
      <c r="F719" s="28"/>
      <c r="H719" s="1"/>
      <c r="I719" s="1"/>
    </row>
    <row r="720" spans="1:16" ht="15.75" customHeight="1" x14ac:dyDescent="0.35">
      <c r="C720" s="1"/>
      <c r="G720" s="1" t="s">
        <v>253</v>
      </c>
      <c r="K720" s="12"/>
      <c r="L720" s="9"/>
      <c r="M720" s="9"/>
    </row>
    <row r="721" spans="1:16" ht="15.75" customHeight="1" x14ac:dyDescent="0.35">
      <c r="B721" s="20"/>
      <c r="G721" s="1"/>
      <c r="H721" s="1"/>
      <c r="K721" s="9"/>
      <c r="L721" s="9"/>
      <c r="M721" s="9"/>
    </row>
    <row r="722" spans="1:16" ht="15.75" customHeight="1" x14ac:dyDescent="0.35">
      <c r="B722" s="20"/>
      <c r="G722" s="1"/>
      <c r="H722" s="1"/>
      <c r="K722" s="9" t="s">
        <v>254</v>
      </c>
      <c r="L722" s="9"/>
      <c r="M722" s="9"/>
    </row>
    <row r="723" spans="1:16" ht="15.75" customHeight="1" x14ac:dyDescent="0.35">
      <c r="B723" s="9"/>
      <c r="C723" s="9"/>
      <c r="D723" s="9"/>
      <c r="E723" s="9"/>
      <c r="F723" s="12"/>
      <c r="G723" s="12"/>
      <c r="H723" s="12"/>
      <c r="I723" s="12"/>
      <c r="J723" s="12"/>
      <c r="K723" s="12"/>
      <c r="L723" s="1"/>
    </row>
    <row r="724" spans="1:16" ht="15.75" customHeight="1" x14ac:dyDescent="0.35">
      <c r="B724" s="13"/>
      <c r="C724" s="13"/>
      <c r="D724" s="15"/>
      <c r="F724" s="33" t="s">
        <v>278</v>
      </c>
      <c r="H724" s="14" t="s">
        <v>255</v>
      </c>
      <c r="I724" s="14"/>
    </row>
    <row r="725" spans="1:16" x14ac:dyDescent="0.35">
      <c r="B725" s="13" t="s">
        <v>5</v>
      </c>
      <c r="C725" s="13" t="s">
        <v>1</v>
      </c>
      <c r="D725" s="15" t="str">
        <f>VLOOKUP(A726,Inventory!$A$4:$K$1139,7)</f>
        <v xml:space="preserve">Sweet Marias                       </v>
      </c>
      <c r="F725" s="13" t="s">
        <v>235</v>
      </c>
      <c r="G725" s="16"/>
      <c r="H725" s="14" t="s">
        <v>256</v>
      </c>
    </row>
    <row r="726" spans="1:16" x14ac:dyDescent="0.35">
      <c r="A726">
        <v>174</v>
      </c>
      <c r="B726" s="5">
        <v>45109</v>
      </c>
      <c r="C726" s="15" t="str">
        <f>VLOOKUP(A726,Inventory!$A$4:$K$1139,2)</f>
        <v>Ethiopia Organic Yebuna Terara SWP Decaf 2022</v>
      </c>
      <c r="F726" s="18" t="s">
        <v>257</v>
      </c>
      <c r="G726" s="2" t="s">
        <v>238</v>
      </c>
      <c r="P726" s="8"/>
    </row>
    <row r="727" spans="1:16" x14ac:dyDescent="0.35">
      <c r="H727" s="2" t="s">
        <v>258</v>
      </c>
    </row>
    <row r="728" spans="1:16" x14ac:dyDescent="0.35">
      <c r="C728" s="11" t="s">
        <v>240</v>
      </c>
      <c r="D728" s="11" t="s">
        <v>241</v>
      </c>
      <c r="E728" s="11">
        <v>370</v>
      </c>
      <c r="F728" s="11">
        <v>377</v>
      </c>
      <c r="G728" s="11">
        <v>381</v>
      </c>
      <c r="H728" s="11">
        <v>388</v>
      </c>
      <c r="I728" s="11">
        <v>395</v>
      </c>
      <c r="J728" s="11"/>
      <c r="K728" s="11"/>
      <c r="L728" s="11"/>
    </row>
    <row r="729" spans="1:16" ht="15.75" customHeight="1" x14ac:dyDescent="0.35">
      <c r="B729" s="20" t="s">
        <v>242</v>
      </c>
      <c r="C729" s="30"/>
      <c r="D729" s="30"/>
      <c r="E729" s="23" t="s">
        <v>244</v>
      </c>
      <c r="F729" s="23" t="s">
        <v>245</v>
      </c>
      <c r="G729" s="23" t="s">
        <v>246</v>
      </c>
      <c r="H729" s="23" t="s">
        <v>247</v>
      </c>
      <c r="I729" s="23" t="s">
        <v>259</v>
      </c>
      <c r="J729" s="23" t="s">
        <v>260</v>
      </c>
      <c r="K729" s="23" t="s">
        <v>261</v>
      </c>
      <c r="O729" s="4"/>
    </row>
    <row r="730" spans="1:16" ht="1" customHeight="1" x14ac:dyDescent="0.35">
      <c r="B730" s="24" t="s">
        <v>249</v>
      </c>
      <c r="C730" s="25">
        <v>320</v>
      </c>
      <c r="D730" s="25">
        <v>350</v>
      </c>
      <c r="E730" s="25">
        <v>377</v>
      </c>
      <c r="F730" s="25">
        <v>384</v>
      </c>
      <c r="G730" s="25">
        <v>388</v>
      </c>
      <c r="H730" s="25">
        <v>392</v>
      </c>
      <c r="I730" s="25">
        <v>395</v>
      </c>
      <c r="J730" s="25">
        <v>415</v>
      </c>
      <c r="K730" s="25">
        <v>415</v>
      </c>
      <c r="O730" t="e">
        <f>(O728-3*O727)/O729</f>
        <v>#DIV/0!</v>
      </c>
    </row>
    <row r="731" spans="1:16" ht="15.75" customHeight="1" x14ac:dyDescent="0.35">
      <c r="B731" s="20" t="s">
        <v>250</v>
      </c>
      <c r="C731" s="26">
        <v>0.23263888888888887</v>
      </c>
      <c r="D731" s="26">
        <v>0.31597222222222221</v>
      </c>
      <c r="E731" s="26">
        <v>0.4236111111111111</v>
      </c>
      <c r="F731" s="26">
        <f>E731+'Lookup Tables'!$N$1</f>
        <v>0.44444444444444442</v>
      </c>
      <c r="G731" s="26">
        <f>F731+'Lookup Tables'!$N$1</f>
        <v>0.46527777777777773</v>
      </c>
      <c r="H731" s="26">
        <f>G731+'Lookup Tables'!$N$1</f>
        <v>0.48611111111111105</v>
      </c>
      <c r="I731" s="26">
        <f>H731+'Lookup Tables'!$N$1</f>
        <v>0.50694444444444442</v>
      </c>
      <c r="J731" s="26">
        <f>I731+'Lookup Tables'!$M$1</f>
        <v>0.51736111111111105</v>
      </c>
      <c r="K731" s="26">
        <f>J731+'Lookup Tables'!$M$1</f>
        <v>0.52777777777777768</v>
      </c>
      <c r="N731">
        <f>MAX(F728:M728)-O731</f>
        <v>25</v>
      </c>
      <c r="O731" t="str">
        <f>RIGHT(E728,3)</f>
        <v>370</v>
      </c>
    </row>
    <row r="732" spans="1:16" ht="15.75" customHeight="1" x14ac:dyDescent="0.35">
      <c r="B732" s="20" t="s">
        <v>251</v>
      </c>
      <c r="C732" s="27">
        <v>0.2</v>
      </c>
      <c r="D732" s="27">
        <v>0.5</v>
      </c>
      <c r="E732" s="27"/>
      <c r="F732" s="27"/>
      <c r="G732" s="27"/>
      <c r="H732" s="27"/>
      <c r="I732" s="27"/>
      <c r="J732" s="27"/>
      <c r="K732" s="25"/>
      <c r="N732" t="str">
        <f xml:space="preserve">  N731 &amp; " degrees this time"</f>
        <v>25 degrees this time</v>
      </c>
    </row>
    <row r="733" spans="1:16" ht="15.75" customHeight="1" x14ac:dyDescent="0.35">
      <c r="B733" s="20" t="s">
        <v>252</v>
      </c>
      <c r="C733" s="27">
        <v>0.9</v>
      </c>
      <c r="D733" s="27">
        <v>0.7</v>
      </c>
      <c r="E733" s="27">
        <v>0.6</v>
      </c>
      <c r="F733" s="27"/>
      <c r="G733" s="27"/>
      <c r="H733" s="27"/>
      <c r="I733" s="27"/>
      <c r="J733" s="27"/>
      <c r="K733" s="27"/>
    </row>
    <row r="734" spans="1:16" ht="15.75" customHeight="1" x14ac:dyDescent="0.35">
      <c r="B734" s="20"/>
      <c r="D734" s="11"/>
      <c r="E734" s="11"/>
      <c r="F734" s="28"/>
      <c r="H734" s="1"/>
    </row>
    <row r="735" spans="1:16" ht="15.75" customHeight="1" x14ac:dyDescent="0.35">
      <c r="B735" s="1" t="s">
        <v>262</v>
      </c>
      <c r="F735" t="s">
        <v>263</v>
      </c>
      <c r="G735" s="1"/>
      <c r="K735" s="12"/>
      <c r="L735" s="9"/>
      <c r="M735" s="9"/>
    </row>
    <row r="736" spans="1:16" ht="15.75" customHeight="1" x14ac:dyDescent="0.35">
      <c r="B736" s="20" t="s">
        <v>264</v>
      </c>
      <c r="D736" s="29"/>
      <c r="F736" t="s">
        <v>265</v>
      </c>
      <c r="G736" s="1"/>
      <c r="H736" s="1"/>
      <c r="K736" s="9" t="s">
        <v>266</v>
      </c>
      <c r="L736" s="9"/>
      <c r="M736" s="9"/>
    </row>
    <row r="737" spans="1:16" ht="15.75" customHeight="1" x14ac:dyDescent="0.35">
      <c r="B737" s="20" t="s">
        <v>267</v>
      </c>
      <c r="F737" t="s">
        <v>268</v>
      </c>
      <c r="G737" s="1"/>
      <c r="H737" s="1"/>
      <c r="K737" s="9" t="s">
        <v>254</v>
      </c>
      <c r="L737" s="9"/>
      <c r="M737" s="9"/>
    </row>
    <row r="738" spans="1:16" ht="15.75" customHeight="1" x14ac:dyDescent="0.35">
      <c r="B738" s="9"/>
      <c r="C738" s="9"/>
      <c r="D738" s="9"/>
      <c r="E738" s="9"/>
      <c r="F738" s="12"/>
      <c r="G738" s="12"/>
      <c r="H738" s="12"/>
      <c r="I738" s="12"/>
      <c r="J738" s="12"/>
      <c r="K738" s="12"/>
      <c r="L738" s="1"/>
    </row>
    <row r="739" spans="1:16" ht="15.75" customHeight="1" x14ac:dyDescent="0.35">
      <c r="B739" s="13"/>
      <c r="C739" s="13"/>
      <c r="D739" s="15"/>
      <c r="E739" s="15"/>
      <c r="F739" s="33" t="s">
        <v>298</v>
      </c>
      <c r="G739" s="16"/>
      <c r="H739" s="14" t="s">
        <v>255</v>
      </c>
      <c r="I739" s="14"/>
    </row>
    <row r="740" spans="1:16" x14ac:dyDescent="0.35">
      <c r="B740" s="13" t="s">
        <v>5</v>
      </c>
      <c r="C740" s="13" t="s">
        <v>1</v>
      </c>
      <c r="D740" s="15" t="str">
        <f>VLOOKUP(A741,Inventory!$A$4:$K$1139,7)</f>
        <v xml:space="preserve">Sweet Marias                       </v>
      </c>
      <c r="F740" s="13" t="s">
        <v>235</v>
      </c>
      <c r="G740" s="16"/>
      <c r="H740" s="14" t="s">
        <v>236</v>
      </c>
      <c r="L740" s="17"/>
      <c r="M740" s="17"/>
    </row>
    <row r="741" spans="1:16" x14ac:dyDescent="0.35">
      <c r="A741">
        <v>169</v>
      </c>
      <c r="B741" s="5">
        <v>45099</v>
      </c>
      <c r="C741" s="15" t="str">
        <f>VLOOKUP(A741,Inventory!$A$4:$K$1139,2)</f>
        <v>Yemen Mokha Matari 2021</v>
      </c>
      <c r="F741" s="31" t="s">
        <v>291</v>
      </c>
      <c r="G741" s="2" t="s">
        <v>286</v>
      </c>
      <c r="L741" s="17"/>
      <c r="M741" s="17"/>
      <c r="P741" s="8"/>
    </row>
    <row r="742" spans="1:16" x14ac:dyDescent="0.35">
      <c r="B742" t="s">
        <v>16</v>
      </c>
      <c r="G742" s="16"/>
      <c r="L742" s="19"/>
      <c r="M742" s="19"/>
    </row>
    <row r="743" spans="1:16" x14ac:dyDescent="0.35">
      <c r="B743" s="20"/>
      <c r="C743" s="11" t="s">
        <v>240</v>
      </c>
      <c r="D743" s="11" t="s">
        <v>272</v>
      </c>
      <c r="E743" s="11">
        <v>371</v>
      </c>
      <c r="F743" s="11">
        <v>379</v>
      </c>
      <c r="G743" s="11">
        <v>386</v>
      </c>
      <c r="H743" s="11">
        <v>392</v>
      </c>
      <c r="I743" s="11">
        <v>393</v>
      </c>
      <c r="J743" s="11"/>
      <c r="K743" s="11"/>
      <c r="L743" s="28"/>
    </row>
    <row r="744" spans="1:16" ht="15.75" customHeight="1" x14ac:dyDescent="0.35">
      <c r="B744" s="20" t="s">
        <v>242</v>
      </c>
      <c r="C744" s="21"/>
      <c r="D744" s="22" t="s">
        <v>294</v>
      </c>
      <c r="E744" s="23" t="s">
        <v>244</v>
      </c>
      <c r="F744" s="23" t="s">
        <v>245</v>
      </c>
      <c r="G744" s="23" t="s">
        <v>246</v>
      </c>
      <c r="H744" s="23" t="s">
        <v>273</v>
      </c>
      <c r="I744" s="23" t="s">
        <v>247</v>
      </c>
      <c r="O744" s="4"/>
    </row>
    <row r="745" spans="1:16" ht="1" customHeight="1" x14ac:dyDescent="0.35">
      <c r="B745" s="24" t="s">
        <v>249</v>
      </c>
      <c r="C745" s="25">
        <v>320</v>
      </c>
      <c r="D745" s="25">
        <v>350</v>
      </c>
      <c r="E745" s="25"/>
      <c r="F745" s="25"/>
      <c r="G745" s="25"/>
      <c r="H745" s="23" t="s">
        <v>247</v>
      </c>
      <c r="I745" s="25"/>
      <c r="O745" t="e">
        <f>(O743-3*O742)/O744</f>
        <v>#DIV/0!</v>
      </c>
    </row>
    <row r="746" spans="1:16" ht="15.75" customHeight="1" x14ac:dyDescent="0.35">
      <c r="B746" s="20" t="s">
        <v>250</v>
      </c>
      <c r="C746" s="26">
        <v>0.21527777777777779</v>
      </c>
      <c r="D746" s="26">
        <v>0.3125</v>
      </c>
      <c r="E746" s="26">
        <v>0.39583333333333331</v>
      </c>
      <c r="F746" s="26">
        <f>E746+'Lookup Tables'!$N$1</f>
        <v>0.41666666666666663</v>
      </c>
      <c r="G746" s="26">
        <f>F746+'Lookup Tables'!$N$1</f>
        <v>0.43749999999999994</v>
      </c>
      <c r="H746" s="26">
        <f>G746+'Lookup Tables'!$S$1</f>
        <v>0.44791666666666663</v>
      </c>
      <c r="I746" s="26">
        <f>H746+'Lookup Tables'!$S$1</f>
        <v>0.45833333333333331</v>
      </c>
      <c r="J746" s="11"/>
      <c r="K746" s="11"/>
      <c r="N746">
        <f>MAX(F743:M743)-O746</f>
        <v>22</v>
      </c>
      <c r="O746" t="str">
        <f>RIGHT(E743,3)</f>
        <v>371</v>
      </c>
    </row>
    <row r="747" spans="1:16" ht="15.75" customHeight="1" x14ac:dyDescent="0.35">
      <c r="B747" s="20" t="s">
        <v>251</v>
      </c>
      <c r="C747" s="27">
        <v>0.2</v>
      </c>
      <c r="D747" s="27">
        <v>0.5</v>
      </c>
      <c r="E747" s="27"/>
      <c r="F747" s="27"/>
      <c r="G747" s="27">
        <v>0.25</v>
      </c>
      <c r="H747" s="27"/>
      <c r="I747" s="27"/>
      <c r="N747" t="str">
        <f xml:space="preserve">  N746 &amp; " degrees this time"</f>
        <v>22 degrees this time</v>
      </c>
    </row>
    <row r="748" spans="1:16" ht="15.75" customHeight="1" x14ac:dyDescent="0.35">
      <c r="B748" s="20" t="s">
        <v>252</v>
      </c>
      <c r="C748" s="27">
        <v>0.9</v>
      </c>
      <c r="D748" s="27">
        <v>0.7</v>
      </c>
      <c r="E748" s="27">
        <v>0.7</v>
      </c>
      <c r="F748" s="27">
        <v>0.5</v>
      </c>
      <c r="G748" s="27"/>
      <c r="H748" s="27" t="s">
        <v>275</v>
      </c>
      <c r="I748" s="27" t="s">
        <v>275</v>
      </c>
    </row>
    <row r="749" spans="1:16" ht="15.75" customHeight="1" x14ac:dyDescent="0.35">
      <c r="B749" s="20"/>
      <c r="D749" s="11"/>
      <c r="E749" s="40"/>
      <c r="F749" s="11"/>
      <c r="G749" s="11"/>
      <c r="K749" s="32" t="s">
        <v>314</v>
      </c>
      <c r="L749" s="9"/>
      <c r="M749" s="9"/>
    </row>
    <row r="750" spans="1:16" ht="15.75" customHeight="1" x14ac:dyDescent="0.35">
      <c r="B750" s="38"/>
      <c r="D750" s="15"/>
      <c r="F750" s="13"/>
      <c r="G750" s="1" t="s">
        <v>296</v>
      </c>
      <c r="K750" s="32"/>
      <c r="L750" s="9"/>
      <c r="M750" s="9"/>
    </row>
    <row r="751" spans="1:16" ht="15.75" customHeight="1" x14ac:dyDescent="0.35">
      <c r="B751" s="20"/>
      <c r="G751" s="1"/>
      <c r="H751" s="1"/>
      <c r="K751" s="9"/>
      <c r="L751" s="9"/>
      <c r="M751" s="9"/>
    </row>
    <row r="752" spans="1:16" ht="15.75" customHeight="1" x14ac:dyDescent="0.35">
      <c r="B752" s="20"/>
      <c r="G752" s="1"/>
      <c r="H752" s="1"/>
      <c r="K752" s="9" t="s">
        <v>297</v>
      </c>
      <c r="L752" s="9"/>
      <c r="M752" s="9"/>
    </row>
    <row r="753" spans="1:16" ht="15.75" customHeight="1" x14ac:dyDescent="0.35">
      <c r="B753" s="9"/>
      <c r="C753" s="9"/>
      <c r="D753" s="9"/>
      <c r="E753" s="9"/>
      <c r="F753" s="12"/>
      <c r="G753" s="12"/>
      <c r="H753" s="12"/>
      <c r="I753" s="12"/>
      <c r="J753" s="12"/>
      <c r="K753" s="12"/>
      <c r="L753" s="1"/>
    </row>
    <row r="754" spans="1:16" ht="15.75" customHeight="1" x14ac:dyDescent="0.35">
      <c r="B754" s="13"/>
      <c r="C754" s="13"/>
      <c r="D754" s="13"/>
      <c r="E754" s="13"/>
      <c r="G754" s="13"/>
      <c r="H754" s="14" t="s">
        <v>255</v>
      </c>
      <c r="I754" s="13"/>
    </row>
    <row r="755" spans="1:16" x14ac:dyDescent="0.35">
      <c r="B755" s="13" t="s">
        <v>5</v>
      </c>
      <c r="C755" s="13" t="s">
        <v>1</v>
      </c>
      <c r="D755" s="15" t="str">
        <f>VLOOKUP(A756,Inventory!$A$4:$K$1139,7)</f>
        <v xml:space="preserve">Klatch                             </v>
      </c>
      <c r="F755" s="13" t="s">
        <v>235</v>
      </c>
      <c r="G755" s="16"/>
      <c r="L755" s="17"/>
      <c r="M755" s="17"/>
    </row>
    <row r="756" spans="1:16" x14ac:dyDescent="0.35">
      <c r="A756">
        <v>166</v>
      </c>
      <c r="B756" s="5">
        <v>45099</v>
      </c>
      <c r="C756" s="15" t="str">
        <f>VLOOKUP(A756,Inventory!$A$4:$K$1139,2)</f>
        <v>Panama Elida Natural 2020</v>
      </c>
      <c r="F756" s="31" t="s">
        <v>291</v>
      </c>
      <c r="G756" s="2" t="s">
        <v>270</v>
      </c>
      <c r="L756" s="17"/>
      <c r="M756" s="17"/>
      <c r="P756" s="8"/>
    </row>
    <row r="757" spans="1:16" x14ac:dyDescent="0.35">
      <c r="F757" s="13"/>
      <c r="G757" s="16"/>
      <c r="L757" s="19"/>
      <c r="M757" s="19"/>
    </row>
    <row r="758" spans="1:16" x14ac:dyDescent="0.35">
      <c r="B758" s="42"/>
      <c r="C758" s="43" t="s">
        <v>240</v>
      </c>
      <c r="D758" s="43" t="s">
        <v>272</v>
      </c>
      <c r="E758" s="43">
        <v>366</v>
      </c>
      <c r="F758" s="43">
        <v>374</v>
      </c>
      <c r="G758" s="43">
        <v>381</v>
      </c>
      <c r="H758" s="43"/>
      <c r="I758" s="11"/>
      <c r="J758" s="11"/>
      <c r="K758" s="11"/>
      <c r="L758" s="28"/>
    </row>
    <row r="759" spans="1:16" ht="15.75" customHeight="1" x14ac:dyDescent="0.35">
      <c r="B759" s="42" t="s">
        <v>242</v>
      </c>
      <c r="C759" s="44"/>
      <c r="D759" s="44"/>
      <c r="E759" s="45" t="s">
        <v>244</v>
      </c>
      <c r="F759" s="45" t="s">
        <v>245</v>
      </c>
      <c r="G759" s="45" t="s">
        <v>246</v>
      </c>
      <c r="H759" s="45" t="s">
        <v>273</v>
      </c>
      <c r="O759" s="4"/>
    </row>
    <row r="760" spans="1:16" ht="1" customHeight="1" x14ac:dyDescent="0.35">
      <c r="B760" s="46" t="s">
        <v>249</v>
      </c>
      <c r="C760" s="47"/>
      <c r="D760" s="47"/>
      <c r="E760" s="47"/>
      <c r="F760" s="47"/>
      <c r="G760" s="47"/>
      <c r="H760" s="47"/>
      <c r="O760" t="e">
        <f>(O758-3*O757)/O759</f>
        <v>#DIV/0!</v>
      </c>
    </row>
    <row r="761" spans="1:16" ht="15.75" customHeight="1" x14ac:dyDescent="0.35">
      <c r="B761" s="42" t="s">
        <v>250</v>
      </c>
      <c r="C761" s="48">
        <v>0.20833333333333334</v>
      </c>
      <c r="D761" s="48">
        <v>0.30208333333333331</v>
      </c>
      <c r="E761" s="48">
        <v>0.375</v>
      </c>
      <c r="F761" s="48">
        <f>E761+'Lookup Tables'!$N$1</f>
        <v>0.39583333333333331</v>
      </c>
      <c r="G761" s="48">
        <f>F761+'Lookup Tables'!$N$1</f>
        <v>0.41666666666666663</v>
      </c>
      <c r="H761" s="48">
        <f>G761+'Lookup Tables'!$S$1</f>
        <v>0.42708333333333331</v>
      </c>
      <c r="N761">
        <f>MAX(F758:M758)-O761</f>
        <v>15</v>
      </c>
      <c r="O761" t="str">
        <f>RIGHT(E758,3)</f>
        <v>366</v>
      </c>
    </row>
    <row r="762" spans="1:16" ht="15.75" customHeight="1" x14ac:dyDescent="0.35">
      <c r="B762" s="42" t="s">
        <v>251</v>
      </c>
      <c r="C762" s="49">
        <v>0.2</v>
      </c>
      <c r="D762" s="49">
        <v>0.5</v>
      </c>
      <c r="E762" s="49">
        <v>0.5</v>
      </c>
      <c r="F762" s="49" t="s">
        <v>274</v>
      </c>
      <c r="G762" s="49"/>
      <c r="H762" s="47"/>
      <c r="N762" t="str">
        <f xml:space="preserve">  N761 &amp; " degrees this time"</f>
        <v>15 degrees this time</v>
      </c>
    </row>
    <row r="763" spans="1:16" ht="15.75" customHeight="1" x14ac:dyDescent="0.35">
      <c r="B763" s="42" t="s">
        <v>252</v>
      </c>
      <c r="C763" s="49">
        <v>0.9</v>
      </c>
      <c r="D763" s="49">
        <v>0.7</v>
      </c>
      <c r="E763" s="49">
        <v>0.4</v>
      </c>
      <c r="F763" s="49" t="s">
        <v>274</v>
      </c>
      <c r="G763" s="49"/>
      <c r="H763" s="49" t="s">
        <v>275</v>
      </c>
      <c r="K763" s="1" t="s">
        <v>357</v>
      </c>
    </row>
    <row r="764" spans="1:16" ht="15.75" customHeight="1" x14ac:dyDescent="0.35">
      <c r="B764" s="20"/>
      <c r="D764" s="11"/>
      <c r="E764" s="11"/>
      <c r="F764" s="11"/>
    </row>
    <row r="765" spans="1:16" ht="15.75" customHeight="1" x14ac:dyDescent="0.35">
      <c r="B765" s="20"/>
      <c r="C765" s="30"/>
      <c r="D765" s="11"/>
      <c r="E765" s="11"/>
      <c r="F765" s="11"/>
      <c r="G765" s="1" t="s">
        <v>358</v>
      </c>
      <c r="K765" s="32"/>
      <c r="L765" s="9"/>
      <c r="M765" s="9"/>
    </row>
    <row r="766" spans="1:16" ht="15.75" customHeight="1" x14ac:dyDescent="0.35">
      <c r="B766" s="20"/>
      <c r="G766" s="1"/>
      <c r="H766" s="1"/>
      <c r="K766" s="9" t="s">
        <v>359</v>
      </c>
      <c r="L766" s="9"/>
      <c r="M766" s="9"/>
    </row>
    <row r="767" spans="1:16" ht="15.75" customHeight="1" x14ac:dyDescent="0.35">
      <c r="B767" s="20"/>
      <c r="G767" s="1"/>
      <c r="H767" s="1"/>
      <c r="K767" s="32" t="s">
        <v>277</v>
      </c>
      <c r="L767" s="9"/>
      <c r="M767" s="9"/>
    </row>
    <row r="768" spans="1:16" ht="15.75" customHeight="1" x14ac:dyDescent="0.35">
      <c r="B768" s="9"/>
      <c r="C768" s="9"/>
      <c r="D768" s="9"/>
      <c r="E768" s="9"/>
      <c r="F768" s="12"/>
      <c r="G768" s="12"/>
      <c r="H768" s="12"/>
      <c r="I768" s="12"/>
      <c r="J768" s="12"/>
      <c r="K768" s="12"/>
      <c r="L768" s="1"/>
    </row>
    <row r="769" spans="1:16" ht="15.75" customHeight="1" x14ac:dyDescent="0.35">
      <c r="B769" s="13"/>
      <c r="C769" s="13"/>
      <c r="D769" s="15"/>
      <c r="G769" s="16"/>
      <c r="H769" s="14"/>
    </row>
    <row r="770" spans="1:16" x14ac:dyDescent="0.35">
      <c r="B770" s="13" t="s">
        <v>5</v>
      </c>
      <c r="C770" s="13" t="s">
        <v>1</v>
      </c>
      <c r="D770" s="15" t="str">
        <f>VLOOKUP(A771,Inventory!$A$4:$K$1139,7)</f>
        <v>Leverhead Coffee</v>
      </c>
      <c r="F770" s="13" t="s">
        <v>235</v>
      </c>
      <c r="G770" s="16"/>
      <c r="H770" s="16"/>
      <c r="I770" s="16"/>
      <c r="J770" s="16"/>
      <c r="L770" s="17"/>
      <c r="M770" s="17"/>
    </row>
    <row r="771" spans="1:16" x14ac:dyDescent="0.35">
      <c r="A771">
        <v>159</v>
      </c>
      <c r="B771" s="5">
        <v>45099</v>
      </c>
      <c r="C771" s="15" t="str">
        <f>VLOOKUP(A771,Inventory!$A$4:$K$1139,2)</f>
        <v>Rwanda Abakundakawa 2020</v>
      </c>
      <c r="F771" s="34" t="s">
        <v>279</v>
      </c>
      <c r="G771" s="2" t="s">
        <v>270</v>
      </c>
      <c r="L771" s="17"/>
      <c r="M771" s="17"/>
      <c r="P771" s="8"/>
    </row>
    <row r="772" spans="1:16" x14ac:dyDescent="0.35">
      <c r="L772" s="19"/>
      <c r="M772" s="19"/>
    </row>
    <row r="773" spans="1:16" x14ac:dyDescent="0.35">
      <c r="B773" s="20"/>
      <c r="C773" s="11" t="s">
        <v>240</v>
      </c>
      <c r="D773" s="11" t="s">
        <v>241</v>
      </c>
      <c r="E773" s="11">
        <v>372</v>
      </c>
      <c r="F773" s="11">
        <v>380</v>
      </c>
      <c r="G773" s="11">
        <v>388</v>
      </c>
      <c r="H773" s="11">
        <v>397</v>
      </c>
      <c r="I773" s="11">
        <v>402</v>
      </c>
      <c r="J773" s="11"/>
      <c r="K773" s="11"/>
      <c r="L773" s="28"/>
    </row>
    <row r="774" spans="1:16" ht="15.75" customHeight="1" x14ac:dyDescent="0.35">
      <c r="A774" t="s">
        <v>16</v>
      </c>
      <c r="B774" s="20" t="s">
        <v>242</v>
      </c>
      <c r="C774" s="30"/>
      <c r="D774" s="30"/>
      <c r="E774" s="23" t="s">
        <v>244</v>
      </c>
      <c r="F774" s="23" t="s">
        <v>245</v>
      </c>
      <c r="G774" s="23" t="s">
        <v>246</v>
      </c>
      <c r="H774" s="23" t="s">
        <v>247</v>
      </c>
      <c r="I774" s="23" t="s">
        <v>248</v>
      </c>
      <c r="O774" s="4"/>
    </row>
    <row r="775" spans="1:16" ht="1" customHeight="1" x14ac:dyDescent="0.35">
      <c r="B775" s="24" t="s">
        <v>249</v>
      </c>
      <c r="C775" s="25"/>
      <c r="D775" s="25"/>
      <c r="E775" s="25">
        <v>388</v>
      </c>
      <c r="F775" s="25">
        <v>393</v>
      </c>
      <c r="G775" s="25">
        <v>397</v>
      </c>
      <c r="H775" s="25">
        <v>401</v>
      </c>
      <c r="I775" s="25"/>
      <c r="J775" t="s">
        <v>280</v>
      </c>
      <c r="K775" t="s">
        <v>280</v>
      </c>
      <c r="O775" t="e">
        <f>(O773-3*O772)/O774</f>
        <v>#DIV/0!</v>
      </c>
    </row>
    <row r="776" spans="1:16" ht="15.75" customHeight="1" x14ac:dyDescent="0.35">
      <c r="B776" s="20" t="s">
        <v>250</v>
      </c>
      <c r="C776" s="26">
        <v>0.22222222222222221</v>
      </c>
      <c r="D776" s="26">
        <v>0.30208333333333331</v>
      </c>
      <c r="E776" s="26">
        <v>0.3923611111111111</v>
      </c>
      <c r="F776" s="26">
        <f>E776+'Lookup Tables'!$N$1</f>
        <v>0.41319444444444442</v>
      </c>
      <c r="G776" s="26">
        <f>F776+'Lookup Tables'!$N$1</f>
        <v>0.43402777777777773</v>
      </c>
      <c r="H776" s="26">
        <f>G776+'Lookup Tables'!$N$1</f>
        <v>0.45486111111111105</v>
      </c>
      <c r="I776" s="26">
        <f>H776+'Lookup Tables'!$S$1</f>
        <v>0.46527777777777773</v>
      </c>
      <c r="N776">
        <f>MAX(F773:M773)-O776</f>
        <v>30</v>
      </c>
      <c r="O776" t="str">
        <f>RIGHT(E773,3)</f>
        <v>372</v>
      </c>
    </row>
    <row r="777" spans="1:16" ht="15.75" customHeight="1" x14ac:dyDescent="0.35">
      <c r="B777" s="20" t="s">
        <v>251</v>
      </c>
      <c r="C777" s="27">
        <v>0.2</v>
      </c>
      <c r="D777" s="27">
        <v>0.5</v>
      </c>
      <c r="E777" s="27"/>
      <c r="F777" s="27"/>
      <c r="G777" s="27"/>
      <c r="H777" s="27" t="s">
        <v>274</v>
      </c>
      <c r="I777" s="27"/>
      <c r="N777" t="str">
        <f xml:space="preserve">  N776 &amp; " degrees this time"</f>
        <v>30 degrees this time</v>
      </c>
    </row>
    <row r="778" spans="1:16" ht="15.75" customHeight="1" x14ac:dyDescent="0.35">
      <c r="B778" s="20" t="s">
        <v>252</v>
      </c>
      <c r="C778" s="27">
        <v>0.9</v>
      </c>
      <c r="D778" s="27">
        <v>0.8</v>
      </c>
      <c r="E778" s="27">
        <v>0.6</v>
      </c>
      <c r="F778" s="27">
        <v>0.5</v>
      </c>
      <c r="G778" s="27">
        <v>0.3</v>
      </c>
      <c r="H778" s="27" t="s">
        <v>274</v>
      </c>
      <c r="I778" s="27" t="s">
        <v>275</v>
      </c>
    </row>
    <row r="779" spans="1:16" ht="15.75" customHeight="1" x14ac:dyDescent="0.35">
      <c r="B779" s="20"/>
      <c r="C779" s="30"/>
      <c r="D779" s="11"/>
      <c r="E779" s="11"/>
      <c r="F779" s="11"/>
      <c r="H779" s="1"/>
      <c r="J779" s="35"/>
    </row>
    <row r="780" spans="1:16" ht="15.75" customHeight="1" x14ac:dyDescent="0.35">
      <c r="G780" s="1" t="s">
        <v>342</v>
      </c>
      <c r="K780" s="32" t="s">
        <v>343</v>
      </c>
      <c r="L780" s="9"/>
      <c r="M780" s="9"/>
    </row>
    <row r="781" spans="1:16" ht="15.75" customHeight="1" x14ac:dyDescent="0.35">
      <c r="B781" s="20"/>
      <c r="G781" s="1"/>
      <c r="H781" s="1"/>
      <c r="K781" s="32"/>
      <c r="L781" s="9"/>
      <c r="M781" s="9"/>
    </row>
    <row r="782" spans="1:16" ht="15.75" customHeight="1" x14ac:dyDescent="0.35">
      <c r="B782" s="20"/>
      <c r="G782" s="1"/>
      <c r="H782" s="1"/>
      <c r="K782" s="32" t="s">
        <v>254</v>
      </c>
      <c r="L782" s="9"/>
      <c r="M782" s="9"/>
    </row>
    <row r="783" spans="1:16" ht="15.75" customHeight="1" x14ac:dyDescent="0.35">
      <c r="B783" s="9"/>
      <c r="C783" s="9"/>
      <c r="D783" s="9"/>
      <c r="E783" s="9"/>
      <c r="F783" s="12"/>
      <c r="G783" s="12"/>
      <c r="H783" s="12"/>
      <c r="I783" s="12"/>
      <c r="J783" s="12"/>
      <c r="K783" s="12"/>
      <c r="L783" s="1"/>
    </row>
    <row r="784" spans="1:16" ht="15.75" customHeight="1" x14ac:dyDescent="0.35">
      <c r="B784" s="13"/>
      <c r="C784" s="13"/>
      <c r="D784" s="13"/>
      <c r="E784" s="13"/>
      <c r="F784" s="13"/>
      <c r="G784" s="13"/>
      <c r="I784" s="14"/>
    </row>
    <row r="785" spans="1:16" x14ac:dyDescent="0.35">
      <c r="B785" s="13" t="s">
        <v>5</v>
      </c>
      <c r="C785" s="13" t="s">
        <v>1</v>
      </c>
      <c r="D785" s="15" t="str">
        <f>VLOOKUP(A786,Inventory!$A$4:$K$1139,7)</f>
        <v xml:space="preserve">Klatch                             </v>
      </c>
      <c r="F785" s="13" t="s">
        <v>235</v>
      </c>
      <c r="G785" s="16"/>
      <c r="L785" s="17"/>
      <c r="M785" s="17"/>
    </row>
    <row r="786" spans="1:16" x14ac:dyDescent="0.35">
      <c r="A786">
        <v>162</v>
      </c>
      <c r="B786" s="5">
        <v>45099</v>
      </c>
      <c r="C786" s="15" t="str">
        <f>VLOOKUP(A786,Inventory!$A$4:$K$1139,2)</f>
        <v>El Salvador Las Mercedes Caturra 2020</v>
      </c>
      <c r="F786" s="34" t="s">
        <v>279</v>
      </c>
      <c r="G786" s="2" t="s">
        <v>270</v>
      </c>
      <c r="L786" s="17"/>
      <c r="M786" s="17"/>
      <c r="P786" s="8"/>
    </row>
    <row r="787" spans="1:16" x14ac:dyDescent="0.35">
      <c r="L787" s="19"/>
      <c r="M787" s="19"/>
    </row>
    <row r="788" spans="1:16" x14ac:dyDescent="0.35">
      <c r="B788" s="20"/>
      <c r="C788" s="11" t="s">
        <v>240</v>
      </c>
      <c r="D788" s="11" t="s">
        <v>272</v>
      </c>
      <c r="E788" s="11">
        <v>364</v>
      </c>
      <c r="F788" s="11">
        <v>373</v>
      </c>
      <c r="G788" s="11">
        <v>380</v>
      </c>
      <c r="H788" s="11">
        <v>387</v>
      </c>
      <c r="I788" s="11"/>
      <c r="J788" s="11"/>
      <c r="K788" s="11"/>
      <c r="L788" s="28"/>
    </row>
    <row r="789" spans="1:16" ht="15.75" customHeight="1" x14ac:dyDescent="0.35">
      <c r="B789" s="20" t="s">
        <v>242</v>
      </c>
      <c r="C789" s="21"/>
      <c r="D789" s="22" t="s">
        <v>294</v>
      </c>
      <c r="E789" s="23" t="s">
        <v>244</v>
      </c>
      <c r="F789" s="23" t="s">
        <v>245</v>
      </c>
      <c r="G789" s="23" t="s">
        <v>246</v>
      </c>
      <c r="H789" s="23" t="s">
        <v>247</v>
      </c>
      <c r="O789" s="4"/>
    </row>
    <row r="790" spans="1:16" ht="1" customHeight="1" x14ac:dyDescent="0.35">
      <c r="B790" s="24" t="s">
        <v>249</v>
      </c>
      <c r="C790" s="25"/>
      <c r="D790" s="25"/>
      <c r="E790" s="25">
        <v>384</v>
      </c>
      <c r="F790" s="25">
        <v>392</v>
      </c>
      <c r="G790" s="25">
        <v>395</v>
      </c>
      <c r="H790" s="25"/>
      <c r="O790" t="e">
        <f>(O788-3*O787)/O789</f>
        <v>#DIV/0!</v>
      </c>
    </row>
    <row r="791" spans="1:16" ht="15.75" customHeight="1" x14ac:dyDescent="0.35">
      <c r="B791" s="20" t="s">
        <v>250</v>
      </c>
      <c r="C791" s="26">
        <v>0.22222222222222221</v>
      </c>
      <c r="D791" s="26">
        <v>0.30555555555555552</v>
      </c>
      <c r="E791" s="26">
        <v>0.37152777777777773</v>
      </c>
      <c r="F791" s="26">
        <f>E791+'Lookup Tables'!$N$1</f>
        <v>0.39236111111111105</v>
      </c>
      <c r="G791" s="26">
        <f>F791+'Lookup Tables'!$N$1</f>
        <v>0.41319444444444436</v>
      </c>
      <c r="H791" s="26">
        <f>G791+'Lookup Tables'!$N$1</f>
        <v>0.43402777777777768</v>
      </c>
      <c r="N791">
        <f>MAX(F788:M788)-O791</f>
        <v>23</v>
      </c>
      <c r="O791" t="str">
        <f>RIGHT(E788,3)</f>
        <v>364</v>
      </c>
    </row>
    <row r="792" spans="1:16" ht="15.75" customHeight="1" x14ac:dyDescent="0.35">
      <c r="B792" s="20" t="s">
        <v>251</v>
      </c>
      <c r="C792" s="27">
        <v>0.2</v>
      </c>
      <c r="D792" s="27">
        <v>0.5</v>
      </c>
      <c r="E792" s="27"/>
      <c r="F792" s="27" t="s">
        <v>274</v>
      </c>
      <c r="G792" s="27"/>
      <c r="H792" s="27"/>
      <c r="N792" t="str">
        <f xml:space="preserve">  N791 &amp; " degrees this time"</f>
        <v>23 degrees this time</v>
      </c>
    </row>
    <row r="793" spans="1:16" ht="15.75" customHeight="1" x14ac:dyDescent="0.35">
      <c r="B793" s="20" t="s">
        <v>252</v>
      </c>
      <c r="C793" s="27">
        <v>0.9</v>
      </c>
      <c r="D793" s="27">
        <v>0.8</v>
      </c>
      <c r="E793" s="27">
        <v>0.5</v>
      </c>
      <c r="F793" s="27" t="s">
        <v>274</v>
      </c>
      <c r="G793" s="27"/>
      <c r="H793" s="27" t="s">
        <v>275</v>
      </c>
    </row>
    <row r="794" spans="1:16" ht="15.75" customHeight="1" x14ac:dyDescent="0.35">
      <c r="B794" s="20"/>
      <c r="C794" s="30"/>
      <c r="H794" s="13"/>
      <c r="I794" s="13"/>
      <c r="J794" s="35"/>
    </row>
    <row r="795" spans="1:16" ht="15.75" customHeight="1" x14ac:dyDescent="0.35">
      <c r="C795" s="30"/>
      <c r="G795" s="1" t="s">
        <v>344</v>
      </c>
      <c r="K795" s="32" t="s">
        <v>345</v>
      </c>
      <c r="L795" s="9"/>
      <c r="M795" s="9"/>
    </row>
    <row r="796" spans="1:16" ht="15.75" customHeight="1" x14ac:dyDescent="0.35">
      <c r="B796" s="20"/>
      <c r="G796" s="1"/>
      <c r="H796" s="1"/>
      <c r="K796" s="32"/>
      <c r="L796" s="9"/>
      <c r="M796" s="9"/>
    </row>
    <row r="797" spans="1:16" ht="15.75" customHeight="1" x14ac:dyDescent="0.35">
      <c r="B797" s="20"/>
      <c r="G797" s="1"/>
      <c r="H797" s="1"/>
      <c r="K797" s="32" t="s">
        <v>277</v>
      </c>
      <c r="L797" s="9"/>
      <c r="M797" s="9"/>
    </row>
    <row r="798" spans="1:16" ht="15.75" customHeight="1" x14ac:dyDescent="0.35">
      <c r="B798" s="9"/>
      <c r="C798" s="9"/>
      <c r="D798" s="9"/>
      <c r="E798" s="9"/>
      <c r="F798" s="12"/>
      <c r="G798" s="12"/>
      <c r="H798" s="12"/>
      <c r="I798" s="12"/>
      <c r="J798" s="12"/>
      <c r="K798" s="12"/>
      <c r="L798" s="1"/>
    </row>
    <row r="799" spans="1:16" ht="15.75" customHeight="1" x14ac:dyDescent="0.35">
      <c r="B799" s="13"/>
      <c r="C799" s="13"/>
      <c r="D799" s="13"/>
      <c r="E799" s="13"/>
      <c r="F799" s="50" t="s">
        <v>360</v>
      </c>
      <c r="H799" s="14" t="s">
        <v>255</v>
      </c>
      <c r="I799" s="13"/>
    </row>
    <row r="800" spans="1:16" x14ac:dyDescent="0.35">
      <c r="B800" s="13" t="s">
        <v>5</v>
      </c>
      <c r="C800" s="13" t="s">
        <v>1</v>
      </c>
      <c r="D800" s="15" t="str">
        <f>VLOOKUP(A801,Inventory!$A$4:$K$1139,7)</f>
        <v xml:space="preserve">Sweet Marias                       </v>
      </c>
      <c r="F800" s="13" t="s">
        <v>235</v>
      </c>
      <c r="G800" s="16"/>
      <c r="J800" s="8"/>
      <c r="K800" s="17"/>
      <c r="L800" s="17"/>
      <c r="M800" s="17"/>
    </row>
    <row r="801" spans="1:16" x14ac:dyDescent="0.35">
      <c r="A801">
        <v>172</v>
      </c>
      <c r="B801" s="5">
        <v>45089</v>
      </c>
      <c r="C801" s="15" t="str">
        <f>VLOOKUP(A801,Inventory!$A$4:$K$1139,2)</f>
        <v>DP Idido Desalegn Hijo 2022</v>
      </c>
      <c r="F801" s="34">
        <v>215</v>
      </c>
      <c r="G801" s="2" t="s">
        <v>286</v>
      </c>
      <c r="L801" s="17"/>
      <c r="M801" s="17"/>
      <c r="P801" s="8"/>
    </row>
    <row r="802" spans="1:16" x14ac:dyDescent="0.35">
      <c r="F802" s="11"/>
      <c r="G802" s="11"/>
      <c r="H802" s="11"/>
      <c r="I802" s="11"/>
      <c r="J802" s="11"/>
      <c r="K802" s="11"/>
      <c r="L802" s="28"/>
      <c r="M802" s="36"/>
    </row>
    <row r="803" spans="1:16" x14ac:dyDescent="0.35">
      <c r="B803" s="20"/>
      <c r="C803" s="11" t="s">
        <v>240</v>
      </c>
      <c r="D803" s="11" t="s">
        <v>272</v>
      </c>
      <c r="E803" s="11">
        <v>375</v>
      </c>
      <c r="F803" s="11">
        <v>383</v>
      </c>
      <c r="G803" s="11">
        <v>393</v>
      </c>
      <c r="H803" s="11">
        <v>399</v>
      </c>
      <c r="I803" s="11"/>
      <c r="J803" s="11"/>
      <c r="K803" s="11"/>
      <c r="L803" s="28"/>
    </row>
    <row r="804" spans="1:16" ht="15.75" customHeight="1" x14ac:dyDescent="0.35">
      <c r="B804" s="20" t="s">
        <v>242</v>
      </c>
      <c r="C804" s="30"/>
      <c r="D804" s="30"/>
      <c r="E804" s="23" t="s">
        <v>244</v>
      </c>
      <c r="F804" s="23" t="s">
        <v>245</v>
      </c>
      <c r="G804" s="23" t="s">
        <v>246</v>
      </c>
      <c r="H804" s="23" t="s">
        <v>273</v>
      </c>
      <c r="O804" s="4"/>
    </row>
    <row r="805" spans="1:16" ht="1" customHeight="1" x14ac:dyDescent="0.35">
      <c r="B805" s="24" t="s">
        <v>249</v>
      </c>
      <c r="C805" s="25"/>
      <c r="D805" s="25"/>
      <c r="E805" s="25"/>
      <c r="F805" s="25"/>
      <c r="G805" s="25"/>
      <c r="H805" s="23" t="s">
        <v>247</v>
      </c>
      <c r="O805" t="e">
        <f>(O803-3*O802)/O804</f>
        <v>#DIV/0!</v>
      </c>
    </row>
    <row r="806" spans="1:16" ht="15.75" customHeight="1" x14ac:dyDescent="0.35">
      <c r="B806" s="20" t="s">
        <v>250</v>
      </c>
      <c r="C806" s="26">
        <v>0.1875</v>
      </c>
      <c r="D806" s="26">
        <v>0.27777777777777779</v>
      </c>
      <c r="E806" s="26">
        <v>0.36805555555555558</v>
      </c>
      <c r="F806" s="26">
        <f>E806+'Lookup Tables'!$N$1</f>
        <v>0.3888888888888889</v>
      </c>
      <c r="G806" s="26">
        <f>F806+'Lookup Tables'!$N$1</f>
        <v>0.40972222222222221</v>
      </c>
      <c r="H806" s="26">
        <f>G806+'Lookup Tables'!$S$1</f>
        <v>0.4201388888888889</v>
      </c>
      <c r="N806">
        <f>MAX(F803:M803)-O806</f>
        <v>24</v>
      </c>
      <c r="O806" t="str">
        <f>RIGHT(E803,3)</f>
        <v>375</v>
      </c>
    </row>
    <row r="807" spans="1:16" ht="15.75" customHeight="1" x14ac:dyDescent="0.35">
      <c r="B807" s="20" t="s">
        <v>251</v>
      </c>
      <c r="C807" s="27">
        <v>0.2</v>
      </c>
      <c r="D807" s="27">
        <v>0.5</v>
      </c>
      <c r="E807" s="27"/>
      <c r="F807" s="27"/>
      <c r="G807" s="27"/>
      <c r="H807" s="25"/>
      <c r="N807" t="str">
        <f xml:space="preserve">  N806 &amp; " degrees this time"</f>
        <v>24 degrees this time</v>
      </c>
    </row>
    <row r="808" spans="1:16" ht="15.75" customHeight="1" x14ac:dyDescent="0.35">
      <c r="B808" s="20" t="s">
        <v>252</v>
      </c>
      <c r="C808" s="27">
        <v>0.9</v>
      </c>
      <c r="D808" s="27">
        <v>0.8</v>
      </c>
      <c r="E808" s="27">
        <v>0.8</v>
      </c>
      <c r="F808" s="27">
        <v>0.5</v>
      </c>
      <c r="G808" s="27"/>
      <c r="H808" s="27" t="s">
        <v>275</v>
      </c>
    </row>
    <row r="809" spans="1:16" ht="15.75" customHeight="1" x14ac:dyDescent="0.35">
      <c r="B809" s="20"/>
      <c r="C809" s="30"/>
      <c r="D809" s="11"/>
      <c r="E809" s="1"/>
      <c r="F809" s="11"/>
      <c r="G809" s="11"/>
      <c r="H809" s="11"/>
      <c r="J809" s="37"/>
      <c r="K809" s="32" t="s">
        <v>361</v>
      </c>
      <c r="L809" s="9"/>
      <c r="M809" s="9"/>
    </row>
    <row r="810" spans="1:16" ht="15.75" customHeight="1" x14ac:dyDescent="0.35">
      <c r="B810" s="38"/>
      <c r="D810" s="11"/>
      <c r="E810" s="11"/>
      <c r="F810" s="11"/>
      <c r="G810" s="1" t="s">
        <v>281</v>
      </c>
      <c r="K810" s="32" t="s">
        <v>362</v>
      </c>
      <c r="L810" s="9"/>
      <c r="M810" s="9"/>
    </row>
    <row r="811" spans="1:16" ht="15.75" customHeight="1" x14ac:dyDescent="0.35">
      <c r="B811" s="20"/>
      <c r="K811" s="32" t="s">
        <v>363</v>
      </c>
      <c r="L811" s="9"/>
      <c r="M811" s="9"/>
    </row>
    <row r="812" spans="1:16" ht="15.75" customHeight="1" x14ac:dyDescent="0.35">
      <c r="B812" s="20"/>
      <c r="G812" s="1"/>
      <c r="H812" s="1"/>
      <c r="K812" s="9" t="s">
        <v>254</v>
      </c>
      <c r="L812" s="9"/>
      <c r="M812" s="9"/>
    </row>
    <row r="813" spans="1:16" ht="15.75" customHeight="1" x14ac:dyDescent="0.35">
      <c r="B813" s="9"/>
      <c r="C813" s="9"/>
      <c r="D813" s="9"/>
      <c r="E813" s="9"/>
      <c r="F813" s="12"/>
      <c r="G813" s="12"/>
      <c r="H813" s="12"/>
      <c r="I813" s="12"/>
      <c r="J813" s="12"/>
      <c r="K813" s="12"/>
      <c r="L813" s="1"/>
    </row>
    <row r="814" spans="1:16" ht="15.75" customHeight="1" x14ac:dyDescent="0.35">
      <c r="B814" s="13"/>
      <c r="C814" s="13"/>
      <c r="D814" s="13"/>
      <c r="E814" s="13"/>
      <c r="F814" s="13"/>
      <c r="H814" s="14"/>
      <c r="I814" s="13"/>
    </row>
    <row r="815" spans="1:16" x14ac:dyDescent="0.35">
      <c r="B815" s="13" t="s">
        <v>5</v>
      </c>
      <c r="C815" s="13" t="s">
        <v>1</v>
      </c>
      <c r="D815" s="15" t="e">
        <f>VLOOKUP(A816,Inventory!$A$4:$K$1139,7)</f>
        <v>#N/A</v>
      </c>
      <c r="F815" s="13" t="s">
        <v>235</v>
      </c>
      <c r="G815" s="16"/>
      <c r="J815" s="8"/>
      <c r="K815" s="17"/>
      <c r="L815" s="17"/>
      <c r="M815" s="17"/>
    </row>
    <row r="816" spans="1:16" x14ac:dyDescent="0.35">
      <c r="A816">
        <v>0</v>
      </c>
      <c r="B816" s="5">
        <v>45089</v>
      </c>
      <c r="C816" s="15" t="s">
        <v>364</v>
      </c>
      <c r="F816" s="51" t="s">
        <v>291</v>
      </c>
      <c r="G816" s="2" t="s">
        <v>238</v>
      </c>
      <c r="L816" s="17"/>
      <c r="M816" s="17"/>
      <c r="P816" s="8"/>
    </row>
    <row r="817" spans="1:16" x14ac:dyDescent="0.35">
      <c r="B817" s="13"/>
      <c r="C817" s="13"/>
      <c r="D817" s="15"/>
      <c r="F817" s="13"/>
      <c r="H817" s="16"/>
      <c r="I817" s="9" t="s">
        <v>365</v>
      </c>
      <c r="J817" s="2"/>
      <c r="L817" s="19"/>
      <c r="M817" s="19"/>
    </row>
    <row r="818" spans="1:16" x14ac:dyDescent="0.35">
      <c r="B818" s="20"/>
      <c r="C818" s="11" t="s">
        <v>240</v>
      </c>
      <c r="D818" s="11" t="s">
        <v>272</v>
      </c>
      <c r="E818" s="11">
        <v>372</v>
      </c>
      <c r="F818" s="11">
        <v>381</v>
      </c>
      <c r="G818" s="11">
        <v>390</v>
      </c>
      <c r="H818" s="11">
        <v>397</v>
      </c>
      <c r="I818" s="11">
        <v>406</v>
      </c>
      <c r="J818" s="11"/>
      <c r="K818" s="11"/>
      <c r="L818" s="11"/>
    </row>
    <row r="819" spans="1:16" ht="15.75" customHeight="1" x14ac:dyDescent="0.35">
      <c r="B819" s="20" t="s">
        <v>242</v>
      </c>
      <c r="C819" s="30"/>
      <c r="D819" s="30"/>
      <c r="E819" s="23" t="s">
        <v>244</v>
      </c>
      <c r="F819" s="23" t="s">
        <v>245</v>
      </c>
      <c r="G819" s="23" t="s">
        <v>246</v>
      </c>
      <c r="H819" s="23" t="s">
        <v>247</v>
      </c>
      <c r="I819" s="23" t="s">
        <v>259</v>
      </c>
      <c r="J819" s="23" t="s">
        <v>260</v>
      </c>
      <c r="O819" s="4"/>
    </row>
    <row r="820" spans="1:16" ht="1" customHeight="1" x14ac:dyDescent="0.35">
      <c r="B820" s="24" t="s">
        <v>249</v>
      </c>
      <c r="C820" s="25"/>
      <c r="D820" s="25"/>
      <c r="E820" s="25"/>
      <c r="F820" s="25"/>
      <c r="G820" s="25"/>
      <c r="H820" s="25"/>
      <c r="I820" s="25"/>
      <c r="O820" t="e">
        <f>(O818-3*O817)/O819</f>
        <v>#DIV/0!</v>
      </c>
    </row>
    <row r="821" spans="1:16" ht="15.75" customHeight="1" x14ac:dyDescent="0.35">
      <c r="B821" s="20" t="s">
        <v>250</v>
      </c>
      <c r="C821" s="26">
        <v>0.24305555555555555</v>
      </c>
      <c r="D821" s="26">
        <v>0.33680555555555558</v>
      </c>
      <c r="E821" s="26">
        <v>0.4201388888888889</v>
      </c>
      <c r="F821" s="26">
        <f>E821+'Lookup Tables'!$N$1</f>
        <v>0.44097222222222221</v>
      </c>
      <c r="G821" s="26">
        <f>F821+'Lookup Tables'!$N$1</f>
        <v>0.46180555555555552</v>
      </c>
      <c r="H821" s="26">
        <f>G821+'Lookup Tables'!$N$1</f>
        <v>0.48263888888888884</v>
      </c>
      <c r="I821" s="26">
        <f>H821+'Lookup Tables'!$N$1</f>
        <v>0.50347222222222221</v>
      </c>
      <c r="J821" s="26">
        <f>I821+'Lookup Tables'!$M$1</f>
        <v>0.51388888888888884</v>
      </c>
      <c r="N821">
        <f>MAX(F818:M818)-O821</f>
        <v>34</v>
      </c>
      <c r="O821" t="str">
        <f>RIGHT(E818,3)</f>
        <v>372</v>
      </c>
    </row>
    <row r="822" spans="1:16" ht="15.75" customHeight="1" x14ac:dyDescent="0.35">
      <c r="B822" s="20" t="s">
        <v>251</v>
      </c>
      <c r="C822" s="27">
        <v>0.2</v>
      </c>
      <c r="D822" s="27">
        <v>0.5</v>
      </c>
      <c r="E822" s="27"/>
      <c r="F822" s="27"/>
      <c r="G822" s="27" t="s">
        <v>274</v>
      </c>
      <c r="H822" s="27"/>
      <c r="I822" s="27"/>
      <c r="J822" s="27"/>
      <c r="N822" t="str">
        <f xml:space="preserve">  N821 &amp; " degrees this time"</f>
        <v>34 degrees this time</v>
      </c>
    </row>
    <row r="823" spans="1:16" ht="15.75" customHeight="1" x14ac:dyDescent="0.35">
      <c r="B823" s="20" t="s">
        <v>252</v>
      </c>
      <c r="C823" s="27">
        <v>0.9</v>
      </c>
      <c r="D823" s="27">
        <v>0.8</v>
      </c>
      <c r="E823" s="27">
        <v>0.7</v>
      </c>
      <c r="F823" s="27">
        <v>0.4</v>
      </c>
      <c r="G823" s="27" t="s">
        <v>274</v>
      </c>
      <c r="H823" s="27"/>
      <c r="I823" s="27"/>
      <c r="J823" s="27" t="s">
        <v>275</v>
      </c>
    </row>
    <row r="824" spans="1:16" ht="15.75" customHeight="1" x14ac:dyDescent="0.35">
      <c r="B824" s="20"/>
      <c r="D824" s="11"/>
      <c r="E824" s="11"/>
      <c r="F824" s="11"/>
      <c r="G824" s="13"/>
      <c r="H824" s="13"/>
      <c r="I824" s="13"/>
      <c r="J824" s="37"/>
      <c r="L824" s="35"/>
    </row>
    <row r="825" spans="1:16" ht="15.75" customHeight="1" x14ac:dyDescent="0.35">
      <c r="G825" s="1" t="s">
        <v>366</v>
      </c>
      <c r="H825" s="1"/>
      <c r="K825" s="9" t="s">
        <v>367</v>
      </c>
      <c r="L825" s="9"/>
      <c r="M825" s="9"/>
    </row>
    <row r="826" spans="1:16" ht="15.75" customHeight="1" x14ac:dyDescent="0.35">
      <c r="B826" s="20"/>
      <c r="G826" s="1"/>
      <c r="H826" s="1"/>
      <c r="K826" s="32" t="s">
        <v>368</v>
      </c>
      <c r="L826" s="9"/>
      <c r="M826" s="9"/>
    </row>
    <row r="827" spans="1:16" ht="15.75" customHeight="1" x14ac:dyDescent="0.35">
      <c r="B827" s="20"/>
      <c r="G827" s="1"/>
      <c r="H827" s="1"/>
      <c r="K827" s="9" t="s">
        <v>254</v>
      </c>
      <c r="L827" s="9"/>
      <c r="M827" s="9"/>
    </row>
    <row r="828" spans="1:16" ht="15.75" customHeight="1" x14ac:dyDescent="0.35">
      <c r="B828" s="9"/>
      <c r="C828" s="9"/>
      <c r="D828" s="9"/>
      <c r="E828" s="9"/>
      <c r="F828" s="12"/>
      <c r="G828" s="12"/>
      <c r="H828" s="12"/>
      <c r="I828" s="12"/>
      <c r="J828" s="12"/>
      <c r="K828" s="12"/>
      <c r="L828" s="1"/>
    </row>
    <row r="829" spans="1:16" ht="15.75" customHeight="1" x14ac:dyDescent="0.35">
      <c r="B829" s="13"/>
      <c r="C829" s="13"/>
      <c r="D829" s="13"/>
      <c r="E829" s="13"/>
      <c r="F829" s="13"/>
      <c r="H829" s="14" t="s">
        <v>255</v>
      </c>
      <c r="I829" s="13"/>
    </row>
    <row r="830" spans="1:16" x14ac:dyDescent="0.35">
      <c r="B830" s="13" t="s">
        <v>5</v>
      </c>
      <c r="C830" s="13" t="s">
        <v>1</v>
      </c>
      <c r="D830" s="15" t="e">
        <f>VLOOKUP(A831,Inventory!$A$4:$K$1139,7)</f>
        <v>#N/A</v>
      </c>
      <c r="F830" s="13" t="s">
        <v>235</v>
      </c>
      <c r="G830" s="16"/>
      <c r="J830" s="8"/>
      <c r="K830" s="17"/>
      <c r="L830" s="17"/>
      <c r="M830" s="17"/>
    </row>
    <row r="831" spans="1:16" x14ac:dyDescent="0.35">
      <c r="A831">
        <v>0</v>
      </c>
      <c r="B831" s="5">
        <v>45089</v>
      </c>
      <c r="C831" s="15" t="s">
        <v>364</v>
      </c>
      <c r="F831" s="51" t="s">
        <v>346</v>
      </c>
      <c r="G831" s="2" t="s">
        <v>238</v>
      </c>
      <c r="L831" s="17"/>
      <c r="M831" s="17"/>
      <c r="P831" s="8"/>
    </row>
    <row r="832" spans="1:16" x14ac:dyDescent="0.35">
      <c r="B832" s="13"/>
      <c r="C832" s="13"/>
      <c r="D832" s="15"/>
      <c r="F832" s="13"/>
      <c r="G832" s="16"/>
      <c r="H832" s="9" t="s">
        <v>365</v>
      </c>
      <c r="J832" s="2"/>
      <c r="L832" s="19"/>
      <c r="M832" s="19"/>
    </row>
    <row r="833" spans="1:16" x14ac:dyDescent="0.35">
      <c r="B833" s="20"/>
      <c r="C833" s="11" t="s">
        <v>240</v>
      </c>
      <c r="D833" s="11" t="s">
        <v>272</v>
      </c>
      <c r="E833" s="11">
        <v>370</v>
      </c>
      <c r="F833" s="11">
        <v>377</v>
      </c>
      <c r="G833" s="11">
        <v>385</v>
      </c>
      <c r="H833" s="11">
        <v>393</v>
      </c>
      <c r="I833" s="11">
        <v>402</v>
      </c>
      <c r="J833" s="11"/>
      <c r="K833" s="11"/>
      <c r="L833" s="11"/>
    </row>
    <row r="834" spans="1:16" ht="15.75" customHeight="1" x14ac:dyDescent="0.35">
      <c r="B834" s="20" t="s">
        <v>242</v>
      </c>
      <c r="C834" s="30"/>
      <c r="D834" s="30"/>
      <c r="E834" s="23" t="s">
        <v>244</v>
      </c>
      <c r="F834" s="23" t="s">
        <v>245</v>
      </c>
      <c r="G834" s="23" t="s">
        <v>246</v>
      </c>
      <c r="H834" s="23" t="s">
        <v>247</v>
      </c>
      <c r="I834" s="23" t="s">
        <v>259</v>
      </c>
      <c r="J834" s="23" t="s">
        <v>260</v>
      </c>
      <c r="O834" s="4"/>
    </row>
    <row r="835" spans="1:16" ht="1" customHeight="1" x14ac:dyDescent="0.35">
      <c r="B835" s="24" t="s">
        <v>249</v>
      </c>
      <c r="C835" s="25"/>
      <c r="D835" s="25"/>
      <c r="E835" s="25"/>
      <c r="F835" s="25"/>
      <c r="G835" s="25"/>
      <c r="H835" s="25"/>
      <c r="I835" s="25"/>
      <c r="O835" t="e">
        <f>(O833-3*O832)/O834</f>
        <v>#DIV/0!</v>
      </c>
    </row>
    <row r="836" spans="1:16" ht="15.75" customHeight="1" x14ac:dyDescent="0.35">
      <c r="B836" s="20" t="s">
        <v>250</v>
      </c>
      <c r="C836" s="26">
        <v>0.23611111111111113</v>
      </c>
      <c r="D836" s="26">
        <v>0.33333333333333331</v>
      </c>
      <c r="E836" s="26">
        <v>0.41666666666666669</v>
      </c>
      <c r="F836" s="26">
        <f>E836+'Lookup Tables'!$N$1</f>
        <v>0.4375</v>
      </c>
      <c r="G836" s="26">
        <f>F836+'Lookup Tables'!$N$1</f>
        <v>0.45833333333333331</v>
      </c>
      <c r="H836" s="26">
        <f>G836+'Lookup Tables'!$N$1</f>
        <v>0.47916666666666663</v>
      </c>
      <c r="I836" s="26">
        <f>H836+'Lookup Tables'!$N$1</f>
        <v>0.49999999999999994</v>
      </c>
      <c r="J836" s="26">
        <f>I836+'Lookup Tables'!$M$1</f>
        <v>0.51041666666666663</v>
      </c>
      <c r="N836">
        <f>MAX(F833:M833)-O836</f>
        <v>32</v>
      </c>
      <c r="O836" t="str">
        <f>RIGHT(E833,3)</f>
        <v>370</v>
      </c>
    </row>
    <row r="837" spans="1:16" ht="15.75" customHeight="1" x14ac:dyDescent="0.35">
      <c r="B837" s="20" t="s">
        <v>251</v>
      </c>
      <c r="C837" s="27">
        <v>0.2</v>
      </c>
      <c r="D837" s="27">
        <v>0.5</v>
      </c>
      <c r="E837" s="27"/>
      <c r="F837" s="27"/>
      <c r="G837" s="27" t="s">
        <v>274</v>
      </c>
      <c r="H837" s="27"/>
      <c r="I837" s="27"/>
      <c r="J837" s="27"/>
      <c r="N837" t="str">
        <f xml:space="preserve">  N836 &amp; " degrees this time"</f>
        <v>32 degrees this time</v>
      </c>
    </row>
    <row r="838" spans="1:16" ht="15.75" customHeight="1" x14ac:dyDescent="0.35">
      <c r="B838" s="20" t="s">
        <v>252</v>
      </c>
      <c r="C838" s="27">
        <v>0.9</v>
      </c>
      <c r="D838" s="27">
        <v>0.8</v>
      </c>
      <c r="E838" s="27">
        <v>0.7</v>
      </c>
      <c r="F838" s="27">
        <v>0.4</v>
      </c>
      <c r="G838" s="27" t="s">
        <v>274</v>
      </c>
      <c r="H838" s="27"/>
      <c r="I838" s="27"/>
      <c r="J838" s="27" t="s">
        <v>275</v>
      </c>
    </row>
    <row r="839" spans="1:16" ht="15.75" customHeight="1" x14ac:dyDescent="0.35">
      <c r="B839" s="20"/>
      <c r="D839" s="11"/>
      <c r="E839" s="11"/>
      <c r="F839" s="11"/>
      <c r="G839" s="13"/>
      <c r="H839" s="13"/>
      <c r="I839" s="13"/>
      <c r="J839" s="37"/>
      <c r="L839" s="35"/>
    </row>
    <row r="840" spans="1:16" ht="15.75" customHeight="1" x14ac:dyDescent="0.35">
      <c r="G840" s="1" t="s">
        <v>366</v>
      </c>
      <c r="H840" s="1"/>
      <c r="K840" s="9" t="s">
        <v>367</v>
      </c>
      <c r="L840" s="9"/>
      <c r="M840" s="9"/>
    </row>
    <row r="841" spans="1:16" ht="15.75" customHeight="1" x14ac:dyDescent="0.35">
      <c r="B841" s="20"/>
      <c r="G841" s="1"/>
      <c r="H841" s="1"/>
      <c r="K841" s="32" t="s">
        <v>368</v>
      </c>
      <c r="L841" s="9"/>
      <c r="M841" s="9"/>
    </row>
    <row r="842" spans="1:16" ht="15.75" customHeight="1" x14ac:dyDescent="0.35">
      <c r="B842" s="20"/>
      <c r="G842" s="1"/>
      <c r="H842" s="1"/>
      <c r="K842" s="9" t="s">
        <v>254</v>
      </c>
      <c r="L842" s="9"/>
      <c r="M842" s="9"/>
    </row>
    <row r="843" spans="1:16" ht="15.75" customHeight="1" x14ac:dyDescent="0.35">
      <c r="B843" s="9"/>
      <c r="C843" s="9"/>
      <c r="D843" s="9"/>
      <c r="E843" s="9"/>
      <c r="F843" s="12"/>
      <c r="G843" s="12"/>
      <c r="H843" s="12"/>
      <c r="I843" s="12"/>
      <c r="J843" s="12"/>
      <c r="K843" s="12"/>
      <c r="L843" s="1"/>
    </row>
    <row r="844" spans="1:16" ht="15.75" customHeight="1" x14ac:dyDescent="0.35">
      <c r="B844" s="13"/>
      <c r="C844" s="13"/>
      <c r="D844" s="15"/>
      <c r="F844" s="33" t="s">
        <v>341</v>
      </c>
      <c r="H844" s="14" t="s">
        <v>255</v>
      </c>
    </row>
    <row r="845" spans="1:16" x14ac:dyDescent="0.35">
      <c r="B845" s="13" t="s">
        <v>5</v>
      </c>
      <c r="C845" s="13" t="s">
        <v>1</v>
      </c>
      <c r="D845" s="15" t="str">
        <f>VLOOKUP(A846,Inventory!$A$4:$K$1139,7)</f>
        <v xml:space="preserve">Sweet Marias                       </v>
      </c>
      <c r="F845" s="13" t="s">
        <v>235</v>
      </c>
      <c r="G845" s="16"/>
      <c r="L845" s="17"/>
      <c r="M845" s="17"/>
    </row>
    <row r="846" spans="1:16" x14ac:dyDescent="0.35">
      <c r="A846">
        <v>158</v>
      </c>
      <c r="B846" s="5">
        <v>45074</v>
      </c>
      <c r="C846" s="15" t="str">
        <f>VLOOKUP(A846,Inventory!$A$4:$K$1139,2)</f>
        <v>Ethiopia Organic Sidama Keramo 2020</v>
      </c>
      <c r="E846" s="11"/>
      <c r="F846" s="31" t="s">
        <v>291</v>
      </c>
      <c r="G846" s="2" t="s">
        <v>286</v>
      </c>
      <c r="L846" s="17"/>
      <c r="M846" s="17"/>
      <c r="P846" s="8"/>
    </row>
    <row r="847" spans="1:16" x14ac:dyDescent="0.35">
      <c r="D847" s="11"/>
      <c r="E847" s="11"/>
      <c r="G847" s="16"/>
      <c r="K847" s="2"/>
      <c r="L847" s="19"/>
      <c r="M847" s="19"/>
    </row>
    <row r="848" spans="1:16" x14ac:dyDescent="0.35">
      <c r="B848" s="20"/>
      <c r="C848" s="11" t="s">
        <v>240</v>
      </c>
      <c r="D848" s="11" t="s">
        <v>272</v>
      </c>
      <c r="E848" s="11">
        <v>362</v>
      </c>
      <c r="F848" s="11">
        <v>368</v>
      </c>
      <c r="G848" s="11">
        <v>372</v>
      </c>
      <c r="H848" s="11">
        <v>379</v>
      </c>
      <c r="I848" s="11">
        <v>383</v>
      </c>
      <c r="J848" s="11"/>
      <c r="K848" s="11"/>
      <c r="L848" s="11"/>
    </row>
    <row r="849" spans="1:16" ht="15.75" customHeight="1" x14ac:dyDescent="0.35">
      <c r="B849" s="20" t="s">
        <v>242</v>
      </c>
      <c r="C849" s="30"/>
      <c r="D849" s="30"/>
      <c r="E849" s="23" t="s">
        <v>244</v>
      </c>
      <c r="F849" s="23" t="s">
        <v>245</v>
      </c>
      <c r="G849" s="23" t="s">
        <v>246</v>
      </c>
      <c r="H849" s="23" t="s">
        <v>247</v>
      </c>
      <c r="I849" s="23" t="s">
        <v>248</v>
      </c>
      <c r="O849" s="4"/>
    </row>
    <row r="850" spans="1:16" ht="1" customHeight="1" x14ac:dyDescent="0.35">
      <c r="B850" s="24" t="s">
        <v>249</v>
      </c>
      <c r="C850" s="25"/>
      <c r="D850" s="25"/>
      <c r="E850" s="25"/>
      <c r="F850" s="25"/>
      <c r="G850" s="25"/>
      <c r="H850" s="25"/>
      <c r="I850" s="23" t="s">
        <v>247</v>
      </c>
      <c r="O850" t="e">
        <f>(O848-3*O847)/O849</f>
        <v>#DIV/0!</v>
      </c>
    </row>
    <row r="851" spans="1:16" ht="15.75" customHeight="1" x14ac:dyDescent="0.35">
      <c r="B851" s="20" t="s">
        <v>250</v>
      </c>
      <c r="C851" s="26">
        <v>0.16666666666666666</v>
      </c>
      <c r="D851" s="26">
        <v>0.25</v>
      </c>
      <c r="E851" s="26">
        <v>0.31944444444444448</v>
      </c>
      <c r="F851" s="26">
        <f>E851+'Lookup Tables'!$N$1</f>
        <v>0.34027777777777779</v>
      </c>
      <c r="G851" s="26">
        <f>F851+'Lookup Tables'!$N$1</f>
        <v>0.3611111111111111</v>
      </c>
      <c r="H851" s="26">
        <f>G851+'Lookup Tables'!$N$1</f>
        <v>0.38194444444444442</v>
      </c>
      <c r="I851" s="26">
        <f>H851+'Lookup Tables'!$S$1</f>
        <v>0.3923611111111111</v>
      </c>
      <c r="N851">
        <f>MAX(F848:M848)-O851</f>
        <v>21</v>
      </c>
      <c r="O851" t="str">
        <f>RIGHT(E848,3)</f>
        <v>362</v>
      </c>
    </row>
    <row r="852" spans="1:16" ht="15.75" customHeight="1" x14ac:dyDescent="0.35">
      <c r="B852" s="20" t="s">
        <v>251</v>
      </c>
      <c r="C852" s="27">
        <v>0.2</v>
      </c>
      <c r="D852" s="27">
        <v>0.5</v>
      </c>
      <c r="E852" s="27"/>
      <c r="F852" s="27"/>
      <c r="G852" s="27"/>
      <c r="H852" s="27"/>
      <c r="I852" s="25"/>
      <c r="N852" t="str">
        <f xml:space="preserve">  N851 &amp; " degrees this time"</f>
        <v>21 degrees this time</v>
      </c>
    </row>
    <row r="853" spans="1:16" ht="15.75" customHeight="1" x14ac:dyDescent="0.35">
      <c r="B853" s="20" t="s">
        <v>252</v>
      </c>
      <c r="C853" s="27">
        <v>0.9</v>
      </c>
      <c r="D853" s="27">
        <v>0.8</v>
      </c>
      <c r="E853" s="27"/>
      <c r="F853" s="27">
        <v>0.5</v>
      </c>
      <c r="G853" s="27" t="s">
        <v>274</v>
      </c>
      <c r="H853" s="27" t="s">
        <v>275</v>
      </c>
      <c r="I853" s="27" t="s">
        <v>275</v>
      </c>
    </row>
    <row r="854" spans="1:16" ht="15.75" customHeight="1" x14ac:dyDescent="0.35">
      <c r="B854" s="20"/>
      <c r="F854" s="1"/>
    </row>
    <row r="855" spans="1:16" ht="15.75" customHeight="1" x14ac:dyDescent="0.35">
      <c r="B855" s="20"/>
      <c r="G855" s="1" t="s">
        <v>351</v>
      </c>
      <c r="K855" s="32" t="s">
        <v>369</v>
      </c>
      <c r="L855" s="9"/>
      <c r="M855" s="9"/>
    </row>
    <row r="856" spans="1:16" ht="15.75" customHeight="1" x14ac:dyDescent="0.35">
      <c r="B856" s="20"/>
      <c r="G856" s="1"/>
      <c r="H856" s="1"/>
      <c r="K856" s="32"/>
      <c r="L856" s="9"/>
      <c r="M856" s="9"/>
    </row>
    <row r="857" spans="1:16" ht="15.75" customHeight="1" x14ac:dyDescent="0.35">
      <c r="B857" s="20"/>
      <c r="G857" s="1"/>
      <c r="H857" s="1"/>
      <c r="K857" s="9" t="s">
        <v>300</v>
      </c>
      <c r="L857" s="9"/>
      <c r="M857" s="9"/>
    </row>
    <row r="858" spans="1:16" ht="15.75" customHeight="1" x14ac:dyDescent="0.35">
      <c r="B858" s="9"/>
      <c r="C858" s="9"/>
      <c r="D858" s="9"/>
      <c r="E858" s="9"/>
      <c r="F858" s="12"/>
      <c r="G858" s="12"/>
      <c r="H858" s="12"/>
      <c r="I858" s="12"/>
      <c r="J858" s="12"/>
      <c r="K858" s="12"/>
      <c r="L858" s="1"/>
    </row>
    <row r="859" spans="1:16" ht="15.75" customHeight="1" x14ac:dyDescent="0.35">
      <c r="B859" s="13"/>
      <c r="C859" s="13"/>
      <c r="D859" s="15"/>
      <c r="H859" s="14"/>
    </row>
    <row r="860" spans="1:16" x14ac:dyDescent="0.35">
      <c r="B860" s="13" t="s">
        <v>5</v>
      </c>
      <c r="C860" s="13" t="s">
        <v>1</v>
      </c>
      <c r="D860" s="15" t="str">
        <f>VLOOKUP(A861,Inventory!$A$4:$K$1139,7)</f>
        <v>Burman Coffee</v>
      </c>
      <c r="F860" s="13" t="s">
        <v>235</v>
      </c>
      <c r="G860" s="16"/>
      <c r="H860" s="14"/>
      <c r="L860" s="17"/>
      <c r="M860" s="17"/>
    </row>
    <row r="861" spans="1:16" x14ac:dyDescent="0.35">
      <c r="A861">
        <v>165</v>
      </c>
      <c r="B861" s="5">
        <v>45074</v>
      </c>
      <c r="C861" s="15" t="str">
        <f>VLOOKUP(A861,Inventory!$A$4:$K$1139,2)</f>
        <v>Ethiopian Guji Natural - Shakiso 2020</v>
      </c>
      <c r="F861" s="34" t="s">
        <v>279</v>
      </c>
      <c r="G861" s="2" t="s">
        <v>286</v>
      </c>
      <c r="L861" s="17"/>
      <c r="M861" s="17"/>
      <c r="P861" s="8"/>
    </row>
    <row r="862" spans="1:16" x14ac:dyDescent="0.35">
      <c r="F862" s="11"/>
      <c r="G862" s="11"/>
      <c r="H862" s="11"/>
      <c r="I862" s="11"/>
      <c r="J862" s="11"/>
      <c r="K862" s="11"/>
      <c r="L862" s="28"/>
      <c r="M862" s="36"/>
    </row>
    <row r="863" spans="1:16" x14ac:dyDescent="0.35">
      <c r="B863" s="20"/>
      <c r="C863" s="11" t="s">
        <v>240</v>
      </c>
      <c r="D863" s="11" t="s">
        <v>272</v>
      </c>
      <c r="E863" s="11">
        <v>374</v>
      </c>
      <c r="F863" s="11">
        <v>384</v>
      </c>
      <c r="G863" s="11">
        <v>393</v>
      </c>
      <c r="H863" s="11">
        <v>398</v>
      </c>
      <c r="I863" s="11"/>
      <c r="J863" s="11"/>
      <c r="K863" s="11"/>
      <c r="L863" s="28"/>
    </row>
    <row r="864" spans="1:16" ht="15.75" customHeight="1" x14ac:dyDescent="0.35">
      <c r="B864" s="20" t="s">
        <v>242</v>
      </c>
      <c r="C864" s="30"/>
      <c r="D864" s="30"/>
      <c r="E864" s="23" t="s">
        <v>244</v>
      </c>
      <c r="F864" s="23" t="s">
        <v>245</v>
      </c>
      <c r="G864" s="23" t="s">
        <v>246</v>
      </c>
      <c r="H864" s="23" t="s">
        <v>273</v>
      </c>
      <c r="O864" s="4"/>
    </row>
    <row r="865" spans="1:16" ht="1" customHeight="1" x14ac:dyDescent="0.35">
      <c r="B865" s="24" t="s">
        <v>249</v>
      </c>
      <c r="C865" s="25"/>
      <c r="D865" s="25"/>
      <c r="E865" s="25"/>
      <c r="F865" s="25"/>
      <c r="G865" s="25"/>
      <c r="H865" s="23" t="s">
        <v>247</v>
      </c>
      <c r="O865" t="e">
        <f>(O863-3*O862)/O864</f>
        <v>#DIV/0!</v>
      </c>
    </row>
    <row r="866" spans="1:16" ht="15.75" customHeight="1" x14ac:dyDescent="0.35">
      <c r="B866" s="20" t="s">
        <v>250</v>
      </c>
      <c r="C866" s="26">
        <v>0.21180555555555555</v>
      </c>
      <c r="D866" s="26">
        <v>0.30208333333333331</v>
      </c>
      <c r="E866" s="26">
        <v>0.38541666666666669</v>
      </c>
      <c r="F866" s="26">
        <f>E866+'Lookup Tables'!$N$1</f>
        <v>0.40625</v>
      </c>
      <c r="G866" s="26">
        <f>F866+'Lookup Tables'!$N$1</f>
        <v>0.42708333333333331</v>
      </c>
      <c r="H866" s="26">
        <f>G866+'Lookup Tables'!$S$1</f>
        <v>0.4375</v>
      </c>
      <c r="N866">
        <f>MAX(F863:M863)-O866</f>
        <v>24</v>
      </c>
      <c r="O866" t="str">
        <f>RIGHT(E863,3)</f>
        <v>374</v>
      </c>
    </row>
    <row r="867" spans="1:16" ht="15.75" customHeight="1" x14ac:dyDescent="0.35">
      <c r="B867" s="20" t="s">
        <v>251</v>
      </c>
      <c r="C867" s="27">
        <v>0.2</v>
      </c>
      <c r="D867" s="27">
        <v>0.5</v>
      </c>
      <c r="E867" s="27"/>
      <c r="F867" s="27"/>
      <c r="G867" s="27"/>
      <c r="H867" s="25"/>
      <c r="N867" t="str">
        <f xml:space="preserve">  N866 &amp; " degrees this time"</f>
        <v>24 degrees this time</v>
      </c>
    </row>
    <row r="868" spans="1:16" ht="15.75" customHeight="1" x14ac:dyDescent="0.35">
      <c r="B868" s="20" t="s">
        <v>252</v>
      </c>
      <c r="C868" s="27">
        <v>0.9</v>
      </c>
      <c r="D868" s="27">
        <v>0.8</v>
      </c>
      <c r="E868" s="27">
        <v>0.8</v>
      </c>
      <c r="F868" s="27">
        <v>0.5</v>
      </c>
      <c r="G868" s="27"/>
      <c r="H868" s="27" t="s">
        <v>275</v>
      </c>
    </row>
    <row r="869" spans="1:16" ht="15.75" customHeight="1" x14ac:dyDescent="0.35">
      <c r="B869" s="20"/>
      <c r="C869" s="30"/>
      <c r="D869" s="11"/>
      <c r="E869" s="1"/>
      <c r="F869" s="11"/>
      <c r="G869" s="11"/>
      <c r="H869" s="11"/>
      <c r="J869" s="37"/>
      <c r="K869" s="32" t="s">
        <v>327</v>
      </c>
      <c r="L869" s="9"/>
      <c r="M869" s="9"/>
    </row>
    <row r="870" spans="1:16" ht="15.75" customHeight="1" x14ac:dyDescent="0.35">
      <c r="B870" s="38"/>
      <c r="D870" s="11"/>
      <c r="E870" s="11"/>
      <c r="F870" s="11"/>
      <c r="G870" s="1" t="s">
        <v>281</v>
      </c>
      <c r="K870" s="32" t="s">
        <v>328</v>
      </c>
      <c r="L870" s="9"/>
      <c r="M870" s="9"/>
    </row>
    <row r="871" spans="1:16" ht="15.75" customHeight="1" x14ac:dyDescent="0.35">
      <c r="B871" s="20"/>
      <c r="K871" s="32"/>
      <c r="L871" s="9"/>
      <c r="M871" s="9"/>
    </row>
    <row r="872" spans="1:16" ht="15.75" customHeight="1" x14ac:dyDescent="0.35">
      <c r="B872" s="20"/>
      <c r="G872" s="1"/>
      <c r="H872" s="1"/>
      <c r="K872" s="9" t="s">
        <v>254</v>
      </c>
      <c r="L872" s="9"/>
      <c r="M872" s="9"/>
    </row>
    <row r="873" spans="1:16" ht="15.75" customHeight="1" x14ac:dyDescent="0.35">
      <c r="B873" s="9"/>
      <c r="C873" s="9"/>
      <c r="D873" s="9"/>
      <c r="E873" s="9"/>
      <c r="F873" s="12"/>
      <c r="G873" s="12"/>
      <c r="H873" s="12"/>
      <c r="I873" s="12"/>
      <c r="J873" s="12"/>
      <c r="K873" s="12"/>
      <c r="L873" s="1"/>
    </row>
    <row r="874" spans="1:16" ht="15.75" customHeight="1" x14ac:dyDescent="0.35">
      <c r="B874" s="13"/>
      <c r="C874" s="13"/>
      <c r="D874" s="15"/>
    </row>
    <row r="875" spans="1:16" x14ac:dyDescent="0.35">
      <c r="B875" s="13" t="s">
        <v>5</v>
      </c>
      <c r="C875" s="13" t="s">
        <v>1</v>
      </c>
      <c r="D875" s="15" t="str">
        <f>VLOOKUP(A876,Inventory!$A$4:$K$1139,7)</f>
        <v xml:space="preserve">Klatch                             </v>
      </c>
      <c r="F875" s="13" t="s">
        <v>235</v>
      </c>
      <c r="G875" s="16"/>
      <c r="L875" s="17"/>
      <c r="M875" s="17"/>
    </row>
    <row r="876" spans="1:16" x14ac:dyDescent="0.35">
      <c r="A876">
        <v>168</v>
      </c>
      <c r="B876" s="5">
        <v>45074</v>
      </c>
      <c r="C876" s="15" t="str">
        <f>VLOOKUP(A876,Inventory!$A$4:$K$1139,2)</f>
        <v>Ethiopia Yirgacheffe BedHatu Washed 2021</v>
      </c>
      <c r="F876" s="39" t="s">
        <v>291</v>
      </c>
      <c r="G876" s="2" t="s">
        <v>286</v>
      </c>
      <c r="L876" s="17"/>
      <c r="M876" s="17"/>
      <c r="P876" s="8"/>
    </row>
    <row r="877" spans="1:16" x14ac:dyDescent="0.35">
      <c r="G877" s="16"/>
      <c r="L877" s="19"/>
      <c r="M877" s="19"/>
    </row>
    <row r="878" spans="1:16" x14ac:dyDescent="0.35">
      <c r="B878" s="20"/>
      <c r="C878" s="11" t="s">
        <v>240</v>
      </c>
      <c r="D878" s="11" t="s">
        <v>241</v>
      </c>
      <c r="E878" s="11">
        <v>368</v>
      </c>
      <c r="F878" s="11">
        <v>374</v>
      </c>
      <c r="G878" s="11">
        <v>380</v>
      </c>
      <c r="H878" s="11">
        <v>388</v>
      </c>
      <c r="I878" s="11">
        <v>392</v>
      </c>
      <c r="J878" s="11">
        <v>396</v>
      </c>
      <c r="K878" s="11"/>
      <c r="L878" s="11"/>
    </row>
    <row r="879" spans="1:16" ht="15.75" customHeight="1" x14ac:dyDescent="0.35">
      <c r="B879" s="20" t="s">
        <v>242</v>
      </c>
      <c r="C879" s="30"/>
      <c r="D879" s="30"/>
      <c r="E879" s="23" t="s">
        <v>244</v>
      </c>
      <c r="F879" s="23" t="s">
        <v>245</v>
      </c>
      <c r="G879" s="23" t="s">
        <v>246</v>
      </c>
      <c r="H879" s="23" t="s">
        <v>247</v>
      </c>
      <c r="I879" s="23" t="s">
        <v>248</v>
      </c>
      <c r="J879" s="23" t="s">
        <v>259</v>
      </c>
      <c r="O879" s="4"/>
    </row>
    <row r="880" spans="1:16" ht="1" customHeight="1" x14ac:dyDescent="0.35">
      <c r="B880" s="24" t="s">
        <v>249</v>
      </c>
      <c r="C880" s="25"/>
      <c r="D880" s="25"/>
      <c r="E880" s="25"/>
      <c r="F880" s="25"/>
      <c r="G880" s="25"/>
      <c r="H880" s="25"/>
      <c r="I880" s="25"/>
      <c r="J880" s="25"/>
      <c r="O880" t="e">
        <f>(O878-3*O877)/O879</f>
        <v>#DIV/0!</v>
      </c>
    </row>
    <row r="881" spans="1:16" ht="15.75" customHeight="1" x14ac:dyDescent="0.35">
      <c r="B881" s="20" t="s">
        <v>250</v>
      </c>
      <c r="C881" s="26">
        <v>0.20486111111111113</v>
      </c>
      <c r="D881" s="26">
        <v>0.27777777777777779</v>
      </c>
      <c r="E881" s="26">
        <v>0.3611111111111111</v>
      </c>
      <c r="F881" s="26">
        <f>E881+'Lookup Tables'!$N$1</f>
        <v>0.38194444444444442</v>
      </c>
      <c r="G881" s="26">
        <f>F881+'Lookup Tables'!$N$1</f>
        <v>0.40277777777777773</v>
      </c>
      <c r="H881" s="26">
        <f>G881+'Lookup Tables'!$N$1</f>
        <v>0.42361111111111105</v>
      </c>
      <c r="I881" s="26">
        <f>H881+'Lookup Tables'!$S$1</f>
        <v>0.43402777777777773</v>
      </c>
      <c r="J881" s="26">
        <f>I881+'Lookup Tables'!$S$1</f>
        <v>0.44444444444444442</v>
      </c>
      <c r="N881">
        <f>MAX(F878:M878)-O881</f>
        <v>28</v>
      </c>
      <c r="O881" t="str">
        <f>RIGHT(E878,3)</f>
        <v>368</v>
      </c>
    </row>
    <row r="882" spans="1:16" ht="15.75" customHeight="1" x14ac:dyDescent="0.35">
      <c r="B882" s="20" t="s">
        <v>251</v>
      </c>
      <c r="C882" s="27">
        <v>0.2</v>
      </c>
      <c r="D882" s="27">
        <v>0.5</v>
      </c>
      <c r="E882" s="27"/>
      <c r="F882" s="27"/>
      <c r="G882" s="27"/>
      <c r="H882" s="25"/>
      <c r="I882" s="27"/>
      <c r="J882" s="27"/>
      <c r="N882" t="str">
        <f xml:space="preserve">  N881 &amp; " degrees this time"</f>
        <v>28 degrees this time</v>
      </c>
    </row>
    <row r="883" spans="1:16" ht="15.75" customHeight="1" x14ac:dyDescent="0.35">
      <c r="B883" s="20" t="s">
        <v>252</v>
      </c>
      <c r="C883" s="27">
        <v>0.9</v>
      </c>
      <c r="D883" s="27">
        <v>0.8</v>
      </c>
      <c r="E883" s="27"/>
      <c r="F883" s="27"/>
      <c r="G883" s="27">
        <v>0.5</v>
      </c>
      <c r="H883" s="27"/>
      <c r="I883" s="27"/>
      <c r="J883" s="27" t="s">
        <v>275</v>
      </c>
    </row>
    <row r="884" spans="1:16" ht="15.75" customHeight="1" x14ac:dyDescent="0.35">
      <c r="B884" s="20"/>
      <c r="C884" s="30"/>
      <c r="D884" s="11"/>
      <c r="E884" s="1"/>
      <c r="F884" s="11"/>
      <c r="G884" s="11"/>
      <c r="H884" s="11"/>
    </row>
    <row r="885" spans="1:16" ht="15.75" customHeight="1" x14ac:dyDescent="0.35">
      <c r="B885" s="38"/>
      <c r="D885" s="11"/>
      <c r="E885" s="11"/>
      <c r="F885" s="11"/>
      <c r="G885" s="1" t="s">
        <v>292</v>
      </c>
      <c r="K885" s="9" t="s">
        <v>293</v>
      </c>
      <c r="L885" s="9"/>
      <c r="M885" s="9"/>
    </row>
    <row r="886" spans="1:16" ht="15.75" customHeight="1" x14ac:dyDescent="0.35">
      <c r="B886" s="20"/>
      <c r="G886" s="1"/>
      <c r="H886" s="1"/>
      <c r="K886" s="32"/>
      <c r="L886" s="9"/>
      <c r="M886" s="9"/>
    </row>
    <row r="887" spans="1:16" ht="15.75" customHeight="1" x14ac:dyDescent="0.35">
      <c r="B887" s="20"/>
      <c r="G887" s="1"/>
      <c r="H887" s="1"/>
      <c r="K887" s="9" t="s">
        <v>254</v>
      </c>
      <c r="L887" s="9"/>
      <c r="M887" s="9"/>
    </row>
    <row r="888" spans="1:16" ht="15.75" customHeight="1" x14ac:dyDescent="0.35">
      <c r="B888" s="9"/>
      <c r="C888" s="9"/>
      <c r="D888" s="9"/>
      <c r="E888" s="9"/>
      <c r="F888" s="12"/>
      <c r="G888" s="12"/>
      <c r="H888" s="12"/>
      <c r="I888" s="12"/>
      <c r="J888" s="12"/>
      <c r="K888" s="12"/>
      <c r="L888" s="1"/>
    </row>
    <row r="889" spans="1:16" ht="15.75" customHeight="1" x14ac:dyDescent="0.35">
      <c r="B889" s="13"/>
      <c r="C889" s="13"/>
      <c r="D889" s="15"/>
      <c r="E889" s="15"/>
      <c r="F889" s="15"/>
      <c r="G889" s="16"/>
      <c r="H889" s="14" t="s">
        <v>255</v>
      </c>
      <c r="I889" s="14"/>
    </row>
    <row r="890" spans="1:16" x14ac:dyDescent="0.35">
      <c r="B890" s="13" t="s">
        <v>5</v>
      </c>
      <c r="C890" s="13" t="s">
        <v>1</v>
      </c>
      <c r="D890" s="15" t="str">
        <f>VLOOKUP(A891,Inventory!$A$4:$K$1139,7)</f>
        <v xml:space="preserve">Sweet Marias                       </v>
      </c>
      <c r="F890" s="13" t="s">
        <v>235</v>
      </c>
      <c r="G890" s="16"/>
      <c r="H890" s="14" t="s">
        <v>236</v>
      </c>
      <c r="L890" s="17"/>
      <c r="M890" s="17"/>
    </row>
    <row r="891" spans="1:16" x14ac:dyDescent="0.35">
      <c r="A891">
        <v>169</v>
      </c>
      <c r="B891" s="5">
        <v>45074</v>
      </c>
      <c r="C891" s="15" t="str">
        <f>VLOOKUP(A891,Inventory!$A$4:$K$1139,2)</f>
        <v>Yemen Mokha Matari 2021</v>
      </c>
      <c r="F891" s="31" t="s">
        <v>291</v>
      </c>
      <c r="G891" s="2" t="s">
        <v>286</v>
      </c>
      <c r="L891" s="17"/>
      <c r="M891" s="17"/>
      <c r="P891" s="8"/>
    </row>
    <row r="892" spans="1:16" x14ac:dyDescent="0.35">
      <c r="B892" t="s">
        <v>16</v>
      </c>
      <c r="G892" s="16"/>
      <c r="L892" s="19"/>
      <c r="M892" s="19"/>
    </row>
    <row r="893" spans="1:16" x14ac:dyDescent="0.35">
      <c r="B893" s="20"/>
      <c r="C893" s="11" t="s">
        <v>240</v>
      </c>
      <c r="D893" s="11" t="s">
        <v>272</v>
      </c>
      <c r="E893" s="11">
        <v>372</v>
      </c>
      <c r="F893" s="11">
        <v>379</v>
      </c>
      <c r="G893" s="11">
        <v>386</v>
      </c>
      <c r="H893" s="11">
        <v>390</v>
      </c>
      <c r="I893" s="11">
        <v>395</v>
      </c>
      <c r="J893" s="11"/>
      <c r="K893" s="11"/>
      <c r="L893" s="28"/>
    </row>
    <row r="894" spans="1:16" ht="15.75" customHeight="1" x14ac:dyDescent="0.35">
      <c r="B894" s="20" t="s">
        <v>242</v>
      </c>
      <c r="C894" s="21"/>
      <c r="D894" s="22" t="s">
        <v>294</v>
      </c>
      <c r="E894" s="23" t="s">
        <v>244</v>
      </c>
      <c r="F894" s="23" t="s">
        <v>245</v>
      </c>
      <c r="G894" s="23" t="s">
        <v>246</v>
      </c>
      <c r="H894" s="23" t="s">
        <v>273</v>
      </c>
      <c r="I894" s="23" t="s">
        <v>247</v>
      </c>
      <c r="O894" s="4"/>
    </row>
    <row r="895" spans="1:16" ht="1" customHeight="1" x14ac:dyDescent="0.35">
      <c r="B895" s="24" t="s">
        <v>249</v>
      </c>
      <c r="C895" s="25">
        <v>320</v>
      </c>
      <c r="D895" s="25">
        <v>350</v>
      </c>
      <c r="E895" s="25"/>
      <c r="F895" s="25"/>
      <c r="G895" s="25"/>
      <c r="H895" s="23" t="s">
        <v>247</v>
      </c>
      <c r="I895" s="25"/>
      <c r="O895" t="e">
        <f>(O893-3*O892)/O894</f>
        <v>#DIV/0!</v>
      </c>
    </row>
    <row r="896" spans="1:16" ht="15.75" customHeight="1" x14ac:dyDescent="0.35">
      <c r="B896" s="20" t="s">
        <v>250</v>
      </c>
      <c r="C896" s="26">
        <v>0.21527777777777779</v>
      </c>
      <c r="D896" s="26">
        <v>0.3125</v>
      </c>
      <c r="E896" s="26">
        <v>0.40277777777777773</v>
      </c>
      <c r="F896" s="26">
        <f>E896+'Lookup Tables'!$N$1</f>
        <v>0.42361111111111105</v>
      </c>
      <c r="G896" s="26">
        <f>F896+'Lookup Tables'!$N$1</f>
        <v>0.44444444444444436</v>
      </c>
      <c r="H896" s="26">
        <f>G896+'Lookup Tables'!$S$1</f>
        <v>0.45486111111111105</v>
      </c>
      <c r="I896" s="26">
        <f>H896+'Lookup Tables'!$S$1</f>
        <v>0.46527777777777773</v>
      </c>
      <c r="J896" s="11"/>
      <c r="K896" s="11"/>
      <c r="N896">
        <f>MAX(F893:M893)-O896</f>
        <v>23</v>
      </c>
      <c r="O896" t="str">
        <f>RIGHT(E893,3)</f>
        <v>372</v>
      </c>
    </row>
    <row r="897" spans="1:16" ht="15.75" customHeight="1" x14ac:dyDescent="0.35">
      <c r="B897" s="20" t="s">
        <v>251</v>
      </c>
      <c r="C897" s="27">
        <v>0.2</v>
      </c>
      <c r="D897" s="27">
        <v>0.5</v>
      </c>
      <c r="E897" s="27"/>
      <c r="F897" s="27"/>
      <c r="G897" s="27">
        <v>0.25</v>
      </c>
      <c r="H897" s="27"/>
      <c r="I897" s="27"/>
      <c r="N897" t="str">
        <f xml:space="preserve">  N896 &amp; " degrees this time"</f>
        <v>23 degrees this time</v>
      </c>
    </row>
    <row r="898" spans="1:16" ht="15.75" customHeight="1" x14ac:dyDescent="0.35">
      <c r="B898" s="20" t="s">
        <v>252</v>
      </c>
      <c r="C898" s="27">
        <v>0.9</v>
      </c>
      <c r="D898" s="27">
        <v>0.7</v>
      </c>
      <c r="E898" s="27">
        <v>0.7</v>
      </c>
      <c r="F898" s="27">
        <v>0.5</v>
      </c>
      <c r="G898" s="27"/>
      <c r="H898" s="27" t="s">
        <v>275</v>
      </c>
      <c r="I898" s="27" t="s">
        <v>275</v>
      </c>
    </row>
    <row r="899" spans="1:16" ht="15.75" customHeight="1" x14ac:dyDescent="0.35">
      <c r="B899" s="20"/>
      <c r="D899" s="11"/>
      <c r="E899" s="40"/>
      <c r="F899" s="11"/>
      <c r="G899" s="11"/>
      <c r="K899" s="32" t="s">
        <v>314</v>
      </c>
      <c r="L899" s="9"/>
      <c r="M899" s="9"/>
    </row>
    <row r="900" spans="1:16" ht="15.75" customHeight="1" x14ac:dyDescent="0.35">
      <c r="B900" s="38"/>
      <c r="D900" s="15"/>
      <c r="F900" s="13"/>
      <c r="G900" s="1" t="s">
        <v>296</v>
      </c>
      <c r="K900" s="32"/>
      <c r="L900" s="9"/>
      <c r="M900" s="9"/>
    </row>
    <row r="901" spans="1:16" ht="15.75" customHeight="1" x14ac:dyDescent="0.35">
      <c r="B901" s="20"/>
      <c r="G901" s="1"/>
      <c r="H901" s="1"/>
      <c r="K901" s="9"/>
      <c r="L901" s="9"/>
      <c r="M901" s="9"/>
    </row>
    <row r="902" spans="1:16" ht="15.75" customHeight="1" x14ac:dyDescent="0.35">
      <c r="B902" s="20"/>
      <c r="G902" s="1"/>
      <c r="H902" s="1"/>
      <c r="K902" s="9" t="s">
        <v>297</v>
      </c>
      <c r="L902" s="9"/>
      <c r="M902" s="9"/>
    </row>
    <row r="903" spans="1:16" ht="15.75" customHeight="1" x14ac:dyDescent="0.35">
      <c r="B903" s="9"/>
      <c r="C903" s="9"/>
      <c r="D903" s="9"/>
      <c r="E903" s="9"/>
      <c r="F903" s="12"/>
      <c r="G903" s="12"/>
      <c r="H903" s="12"/>
      <c r="I903" s="12"/>
      <c r="J903" s="12"/>
      <c r="K903" s="12"/>
      <c r="L903" s="1"/>
    </row>
    <row r="904" spans="1:16" ht="15.75" customHeight="1" x14ac:dyDescent="0.35">
      <c r="B904" s="13"/>
      <c r="C904" s="13"/>
      <c r="D904" s="13"/>
      <c r="E904" s="13"/>
      <c r="F904" s="33" t="s">
        <v>316</v>
      </c>
      <c r="G904" s="13"/>
      <c r="I904" s="14"/>
    </row>
    <row r="905" spans="1:16" x14ac:dyDescent="0.35">
      <c r="B905" s="13" t="s">
        <v>5</v>
      </c>
      <c r="C905" s="13" t="s">
        <v>1</v>
      </c>
      <c r="D905" s="15" t="str">
        <f>VLOOKUP(A906,Inventory!$A$4:$K$1139,7)</f>
        <v xml:space="preserve">Sweet Marias                       </v>
      </c>
      <c r="F905" s="13" t="s">
        <v>235</v>
      </c>
      <c r="G905" s="16"/>
      <c r="H905" s="14" t="s">
        <v>236</v>
      </c>
      <c r="L905" s="17"/>
      <c r="M905" s="17"/>
    </row>
    <row r="906" spans="1:16" x14ac:dyDescent="0.35">
      <c r="A906">
        <v>173</v>
      </c>
      <c r="B906" s="5">
        <v>45073</v>
      </c>
      <c r="C906" s="15" t="str">
        <f>VLOOKUP(A906,Inventory!$A$4:$K$1139,2)</f>
        <v>Costa Rica La Pradera SWP Decaf 2022</v>
      </c>
      <c r="F906" s="18" t="s">
        <v>237</v>
      </c>
      <c r="G906" s="2" t="s">
        <v>238</v>
      </c>
      <c r="L906" s="17"/>
      <c r="M906" s="17"/>
      <c r="P906" s="8"/>
    </row>
    <row r="907" spans="1:16" x14ac:dyDescent="0.35">
      <c r="I907" s="2" t="s">
        <v>239</v>
      </c>
      <c r="J907" s="1" t="s">
        <v>16</v>
      </c>
      <c r="L907" s="19"/>
      <c r="M907" s="19"/>
    </row>
    <row r="908" spans="1:16" x14ac:dyDescent="0.35">
      <c r="C908" s="11" t="s">
        <v>240</v>
      </c>
      <c r="D908" s="11" t="s">
        <v>241</v>
      </c>
      <c r="E908" s="11">
        <v>375</v>
      </c>
      <c r="F908" s="11">
        <v>382</v>
      </c>
      <c r="G908" s="11">
        <v>391</v>
      </c>
      <c r="H908" s="11">
        <v>400</v>
      </c>
      <c r="I908" s="11"/>
      <c r="J908" s="11"/>
      <c r="K908" s="11"/>
      <c r="L908" s="11"/>
    </row>
    <row r="909" spans="1:16" ht="15.75" customHeight="1" x14ac:dyDescent="0.35">
      <c r="B909" s="20" t="s">
        <v>242</v>
      </c>
      <c r="C909" s="21"/>
      <c r="D909" s="22" t="s">
        <v>243</v>
      </c>
      <c r="E909" s="23" t="s">
        <v>244</v>
      </c>
      <c r="F909" s="23" t="s">
        <v>245</v>
      </c>
      <c r="G909" s="23" t="s">
        <v>246</v>
      </c>
      <c r="H909" s="23" t="s">
        <v>247</v>
      </c>
      <c r="I909" s="23" t="s">
        <v>259</v>
      </c>
      <c r="O909" s="4"/>
    </row>
    <row r="910" spans="1:16" ht="1" customHeight="1" x14ac:dyDescent="0.35">
      <c r="B910" s="24" t="s">
        <v>249</v>
      </c>
      <c r="C910" s="25">
        <v>320</v>
      </c>
      <c r="D910" s="25">
        <v>350</v>
      </c>
      <c r="E910" s="25">
        <v>377</v>
      </c>
      <c r="F910" s="25">
        <v>384</v>
      </c>
      <c r="G910" s="25">
        <v>388</v>
      </c>
      <c r="H910" s="25">
        <v>392</v>
      </c>
      <c r="I910" s="25">
        <v>392</v>
      </c>
      <c r="O910" t="e">
        <f>(O908-3*O907)/O909</f>
        <v>#DIV/0!</v>
      </c>
    </row>
    <row r="911" spans="1:16" ht="15.75" customHeight="1" x14ac:dyDescent="0.35">
      <c r="B911" s="20" t="s">
        <v>250</v>
      </c>
      <c r="C911" s="26">
        <v>0.23958333333333334</v>
      </c>
      <c r="D911" s="26">
        <v>0.31944444444444448</v>
      </c>
      <c r="E911" s="26">
        <v>0.43402777777777773</v>
      </c>
      <c r="F911" s="26">
        <f>E911+'Lookup Tables'!$N$1</f>
        <v>0.45486111111111105</v>
      </c>
      <c r="G911" s="26">
        <f>F911+'Lookup Tables'!$N$1</f>
        <v>0.47569444444444436</v>
      </c>
      <c r="H911" s="26">
        <f>G911+'Lookup Tables'!$N$1</f>
        <v>0.49652777777777768</v>
      </c>
      <c r="I911" s="26">
        <f>H911+'Lookup Tables'!$N$1</f>
        <v>0.51736111111111105</v>
      </c>
      <c r="N911">
        <f>MAX(F908:M908)-O911</f>
        <v>25</v>
      </c>
      <c r="O911" t="str">
        <f>RIGHT(E908,3)</f>
        <v>375</v>
      </c>
    </row>
    <row r="912" spans="1:16" ht="15.75" customHeight="1" x14ac:dyDescent="0.35">
      <c r="B912" s="20" t="s">
        <v>251</v>
      </c>
      <c r="C912" s="27">
        <v>0.2</v>
      </c>
      <c r="D912" s="27">
        <v>0.5</v>
      </c>
      <c r="E912" s="27"/>
      <c r="F912" s="27"/>
      <c r="G912" s="27"/>
      <c r="H912" s="27"/>
      <c r="I912" s="27"/>
      <c r="N912" t="str">
        <f xml:space="preserve">  N911 &amp; " degrees this time"</f>
        <v>25 degrees this time</v>
      </c>
    </row>
    <row r="913" spans="1:16" ht="15.75" customHeight="1" x14ac:dyDescent="0.35">
      <c r="B913" s="20" t="s">
        <v>252</v>
      </c>
      <c r="C913" s="27">
        <v>0.9</v>
      </c>
      <c r="D913" s="27">
        <v>0.8</v>
      </c>
      <c r="E913" s="27">
        <v>0.7</v>
      </c>
      <c r="F913" s="27"/>
      <c r="G913" s="27">
        <v>0.5</v>
      </c>
      <c r="H913" s="27"/>
      <c r="I913" s="27"/>
    </row>
    <row r="914" spans="1:16" ht="15.75" customHeight="1" x14ac:dyDescent="0.35">
      <c r="B914" s="20"/>
      <c r="D914" s="11"/>
      <c r="E914" s="11"/>
      <c r="F914" s="28"/>
      <c r="H914" s="1"/>
      <c r="I914" s="1"/>
    </row>
    <row r="915" spans="1:16" ht="15.75" customHeight="1" x14ac:dyDescent="0.35">
      <c r="C915" s="1"/>
      <c r="G915" s="1" t="s">
        <v>253</v>
      </c>
      <c r="K915" s="12"/>
      <c r="L915" s="9"/>
      <c r="M915" s="9"/>
    </row>
    <row r="916" spans="1:16" ht="15.75" customHeight="1" x14ac:dyDescent="0.35">
      <c r="B916" s="20"/>
      <c r="G916" s="1"/>
      <c r="H916" s="1"/>
      <c r="K916" s="9"/>
      <c r="L916" s="9"/>
      <c r="M916" s="9"/>
    </row>
    <row r="917" spans="1:16" ht="15.75" customHeight="1" x14ac:dyDescent="0.35">
      <c r="B917" s="20"/>
      <c r="G917" s="1"/>
      <c r="H917" s="1"/>
      <c r="K917" s="9" t="s">
        <v>254</v>
      </c>
      <c r="L917" s="9"/>
      <c r="M917" s="9"/>
    </row>
    <row r="918" spans="1:16" ht="15.75" customHeight="1" x14ac:dyDescent="0.35">
      <c r="B918" s="9"/>
      <c r="C918" s="9"/>
      <c r="D918" s="9"/>
      <c r="E918" s="9"/>
      <c r="F918" s="12"/>
      <c r="G918" s="12"/>
      <c r="H918" s="12"/>
      <c r="I918" s="12"/>
      <c r="J918" s="12"/>
      <c r="K918" s="12"/>
      <c r="L918" s="1"/>
    </row>
    <row r="919" spans="1:16" ht="15.75" customHeight="1" x14ac:dyDescent="0.35">
      <c r="B919" s="13"/>
      <c r="C919" s="13"/>
      <c r="D919" s="15"/>
      <c r="F919" s="33" t="s">
        <v>316</v>
      </c>
      <c r="H919" s="14" t="s">
        <v>255</v>
      </c>
      <c r="I919" s="14"/>
    </row>
    <row r="920" spans="1:16" x14ac:dyDescent="0.35">
      <c r="B920" s="13" t="s">
        <v>5</v>
      </c>
      <c r="C920" s="13" t="s">
        <v>1</v>
      </c>
      <c r="D920" s="15" t="str">
        <f>VLOOKUP(A921,Inventory!$A$4:$K$1139,7)</f>
        <v xml:space="preserve">Sweet Marias                       </v>
      </c>
      <c r="F920" s="13" t="s">
        <v>235</v>
      </c>
      <c r="G920" s="16"/>
      <c r="H920" s="14" t="s">
        <v>256</v>
      </c>
    </row>
    <row r="921" spans="1:16" x14ac:dyDescent="0.35">
      <c r="A921">
        <v>173</v>
      </c>
      <c r="B921" s="5">
        <v>45073</v>
      </c>
      <c r="C921" s="15" t="str">
        <f>VLOOKUP(A921,Inventory!$A$4:$K$1139,2)</f>
        <v>Costa Rica La Pradera SWP Decaf 2022</v>
      </c>
      <c r="F921" s="18" t="s">
        <v>257</v>
      </c>
      <c r="G921" s="2" t="s">
        <v>238</v>
      </c>
      <c r="P921" s="8"/>
    </row>
    <row r="922" spans="1:16" x14ac:dyDescent="0.35">
      <c r="H922" s="2" t="s">
        <v>258</v>
      </c>
    </row>
    <row r="923" spans="1:16" x14ac:dyDescent="0.35">
      <c r="C923" s="11" t="s">
        <v>240</v>
      </c>
      <c r="D923" s="11" t="s">
        <v>241</v>
      </c>
      <c r="E923" s="11">
        <v>366</v>
      </c>
      <c r="F923" s="11">
        <v>370</v>
      </c>
      <c r="G923" s="11">
        <v>375</v>
      </c>
      <c r="H923" s="11">
        <v>383</v>
      </c>
      <c r="I923" s="11">
        <v>392</v>
      </c>
      <c r="J923" s="11"/>
      <c r="K923" s="11"/>
      <c r="L923" s="11"/>
    </row>
    <row r="924" spans="1:16" ht="15.75" customHeight="1" x14ac:dyDescent="0.35">
      <c r="B924" s="20" t="s">
        <v>242</v>
      </c>
      <c r="C924" s="21"/>
      <c r="D924" s="22" t="s">
        <v>243</v>
      </c>
      <c r="E924" s="23" t="s">
        <v>244</v>
      </c>
      <c r="F924" s="23" t="s">
        <v>245</v>
      </c>
      <c r="G924" s="23" t="s">
        <v>246</v>
      </c>
      <c r="H924" s="23" t="s">
        <v>247</v>
      </c>
      <c r="I924" s="23" t="s">
        <v>259</v>
      </c>
      <c r="J924" s="23" t="s">
        <v>260</v>
      </c>
      <c r="K924" s="23" t="s">
        <v>261</v>
      </c>
      <c r="O924" s="4"/>
    </row>
    <row r="925" spans="1:16" ht="1" customHeight="1" x14ac:dyDescent="0.35">
      <c r="B925" s="24" t="s">
        <v>249</v>
      </c>
      <c r="C925" s="25">
        <v>320</v>
      </c>
      <c r="D925" s="25">
        <v>350</v>
      </c>
      <c r="E925" s="25">
        <v>377</v>
      </c>
      <c r="F925" s="25">
        <v>384</v>
      </c>
      <c r="G925" s="25">
        <v>388</v>
      </c>
      <c r="H925" s="25">
        <v>392</v>
      </c>
      <c r="I925" s="25">
        <v>395</v>
      </c>
      <c r="J925" s="25">
        <v>415</v>
      </c>
      <c r="K925" s="25">
        <v>415</v>
      </c>
      <c r="O925" t="e">
        <f>(O923-3*O922)/O924</f>
        <v>#DIV/0!</v>
      </c>
    </row>
    <row r="926" spans="1:16" ht="15.75" customHeight="1" x14ac:dyDescent="0.35">
      <c r="B926" s="20" t="s">
        <v>250</v>
      </c>
      <c r="C926" s="26">
        <v>0.22569444444444445</v>
      </c>
      <c r="D926" s="26">
        <v>0.30902777777777779</v>
      </c>
      <c r="E926" s="26">
        <v>0.41666666666666669</v>
      </c>
      <c r="F926" s="26">
        <f>E926+'Lookup Tables'!$N$1</f>
        <v>0.4375</v>
      </c>
      <c r="G926" s="26">
        <f>F926+'Lookup Tables'!$N$1</f>
        <v>0.45833333333333331</v>
      </c>
      <c r="H926" s="26">
        <f>G926+'Lookup Tables'!$N$1</f>
        <v>0.47916666666666663</v>
      </c>
      <c r="I926" s="26">
        <f>H926+'Lookup Tables'!$N$1</f>
        <v>0.49999999999999994</v>
      </c>
      <c r="J926" s="26">
        <f>I926+'Lookup Tables'!$M$1</f>
        <v>0.51041666666666663</v>
      </c>
      <c r="K926" s="26">
        <f>J926+'Lookup Tables'!$M$1</f>
        <v>0.52083333333333326</v>
      </c>
      <c r="N926">
        <f>MAX(F923:M923)-O926</f>
        <v>26</v>
      </c>
      <c r="O926" t="str">
        <f>RIGHT(E923,3)</f>
        <v>366</v>
      </c>
    </row>
    <row r="927" spans="1:16" ht="15.75" customHeight="1" x14ac:dyDescent="0.35">
      <c r="B927" s="20" t="s">
        <v>251</v>
      </c>
      <c r="C927" s="27">
        <v>0.2</v>
      </c>
      <c r="D927" s="27">
        <v>0.5</v>
      </c>
      <c r="E927" s="27"/>
      <c r="F927" s="27"/>
      <c r="G927" s="27"/>
      <c r="H927" s="27"/>
      <c r="I927" s="27"/>
      <c r="J927" s="27"/>
      <c r="K927" s="25"/>
      <c r="N927" t="str">
        <f xml:space="preserve">  N926 &amp; " degrees this time"</f>
        <v>26 degrees this time</v>
      </c>
    </row>
    <row r="928" spans="1:16" ht="15.75" customHeight="1" x14ac:dyDescent="0.35">
      <c r="B928" s="20" t="s">
        <v>252</v>
      </c>
      <c r="C928" s="27">
        <v>0.9</v>
      </c>
      <c r="D928" s="27">
        <v>0.7</v>
      </c>
      <c r="E928" s="27">
        <v>0.6</v>
      </c>
      <c r="F928" s="27"/>
      <c r="G928" s="27"/>
      <c r="H928" s="27"/>
      <c r="I928" s="27"/>
      <c r="J928" s="27"/>
      <c r="K928" s="27"/>
    </row>
    <row r="929" spans="1:16" ht="15.75" customHeight="1" x14ac:dyDescent="0.35">
      <c r="B929" s="20"/>
      <c r="D929" s="11"/>
      <c r="E929" s="11"/>
      <c r="F929" s="28"/>
      <c r="H929" s="1"/>
    </row>
    <row r="930" spans="1:16" ht="15.75" customHeight="1" x14ac:dyDescent="0.35">
      <c r="B930" s="1" t="s">
        <v>262</v>
      </c>
      <c r="F930" t="s">
        <v>263</v>
      </c>
      <c r="G930" s="1"/>
      <c r="K930" s="12"/>
      <c r="L930" s="9"/>
      <c r="M930" s="9"/>
    </row>
    <row r="931" spans="1:16" ht="15.75" customHeight="1" x14ac:dyDescent="0.35">
      <c r="B931" s="20" t="s">
        <v>264</v>
      </c>
      <c r="D931" s="29"/>
      <c r="F931" t="s">
        <v>265</v>
      </c>
      <c r="G931" s="1"/>
      <c r="H931" s="1"/>
      <c r="K931" s="9" t="s">
        <v>266</v>
      </c>
      <c r="L931" s="9"/>
      <c r="M931" s="9"/>
    </row>
    <row r="932" spans="1:16" ht="15.75" customHeight="1" x14ac:dyDescent="0.35">
      <c r="B932" s="20" t="s">
        <v>267</v>
      </c>
      <c r="F932" t="s">
        <v>268</v>
      </c>
      <c r="G932" s="1"/>
      <c r="H932" s="1"/>
      <c r="K932" s="9" t="s">
        <v>254</v>
      </c>
      <c r="L932" s="9"/>
      <c r="M932" s="9"/>
    </row>
    <row r="933" spans="1:16" ht="15.75" customHeight="1" x14ac:dyDescent="0.35">
      <c r="B933" s="9"/>
      <c r="C933" s="9"/>
      <c r="D933" s="9"/>
      <c r="E933" s="9"/>
      <c r="F933" s="12"/>
      <c r="G933" s="12"/>
      <c r="H933" s="12"/>
      <c r="I933" s="12"/>
      <c r="J933" s="12"/>
      <c r="K933" s="12"/>
      <c r="L933" s="1"/>
    </row>
    <row r="934" spans="1:16" ht="15.75" customHeight="1" x14ac:dyDescent="0.35">
      <c r="B934" s="13"/>
      <c r="C934" s="13"/>
      <c r="D934" s="13"/>
      <c r="E934" s="13"/>
      <c r="F934" s="33" t="s">
        <v>316</v>
      </c>
      <c r="G934" s="13"/>
      <c r="I934" s="14"/>
    </row>
    <row r="935" spans="1:16" x14ac:dyDescent="0.35">
      <c r="B935" s="13" t="s">
        <v>5</v>
      </c>
      <c r="C935" s="13" t="s">
        <v>1</v>
      </c>
      <c r="D935" s="15" t="str">
        <f>VLOOKUP(A936,Inventory!$A$4:$K$1139,7)</f>
        <v xml:space="preserve">Sweet Marias                       </v>
      </c>
      <c r="F935" s="13" t="s">
        <v>235</v>
      </c>
      <c r="G935" s="16"/>
      <c r="H935" s="14" t="s">
        <v>236</v>
      </c>
      <c r="L935" s="17"/>
      <c r="M935" s="17"/>
    </row>
    <row r="936" spans="1:16" x14ac:dyDescent="0.35">
      <c r="A936">
        <v>174</v>
      </c>
      <c r="B936" s="5">
        <v>45073</v>
      </c>
      <c r="C936" s="15" t="str">
        <f>VLOOKUP(A936,Inventory!$A$4:$K$1139,2)</f>
        <v>Ethiopia Organic Yebuna Terara SWP Decaf 2022</v>
      </c>
      <c r="F936" s="18" t="s">
        <v>237</v>
      </c>
      <c r="G936" s="2" t="s">
        <v>238</v>
      </c>
      <c r="L936" s="17"/>
      <c r="M936" s="17"/>
      <c r="P936" s="8"/>
    </row>
    <row r="937" spans="1:16" x14ac:dyDescent="0.35">
      <c r="I937" s="2" t="s">
        <v>239</v>
      </c>
      <c r="J937" s="1" t="s">
        <v>16</v>
      </c>
      <c r="L937" s="19"/>
      <c r="M937" s="19"/>
    </row>
    <row r="938" spans="1:16" x14ac:dyDescent="0.35">
      <c r="C938" s="11" t="s">
        <v>240</v>
      </c>
      <c r="D938" s="11" t="s">
        <v>241</v>
      </c>
      <c r="E938" s="11">
        <v>373</v>
      </c>
      <c r="F938" s="11">
        <v>379</v>
      </c>
      <c r="G938" s="11">
        <v>386</v>
      </c>
      <c r="H938" s="11">
        <v>393</v>
      </c>
      <c r="I938" s="11">
        <v>396</v>
      </c>
      <c r="J938" s="11" t="s">
        <v>370</v>
      </c>
      <c r="K938" s="11"/>
      <c r="L938" s="11"/>
    </row>
    <row r="939" spans="1:16" ht="15.75" customHeight="1" x14ac:dyDescent="0.35">
      <c r="B939" s="20" t="s">
        <v>242</v>
      </c>
      <c r="C939" s="30"/>
      <c r="D939" s="30"/>
      <c r="E939" s="23" t="s">
        <v>244</v>
      </c>
      <c r="F939" s="23" t="s">
        <v>245</v>
      </c>
      <c r="G939" s="23" t="s">
        <v>246</v>
      </c>
      <c r="H939" s="23" t="s">
        <v>247</v>
      </c>
      <c r="I939" s="23" t="s">
        <v>259</v>
      </c>
      <c r="O939" s="4"/>
    </row>
    <row r="940" spans="1:16" ht="1" customHeight="1" x14ac:dyDescent="0.35">
      <c r="B940" s="24" t="s">
        <v>249</v>
      </c>
      <c r="C940" s="25">
        <v>320</v>
      </c>
      <c r="D940" s="25">
        <v>350</v>
      </c>
      <c r="E940" s="25">
        <v>377</v>
      </c>
      <c r="F940" s="25">
        <v>384</v>
      </c>
      <c r="G940" s="25">
        <v>388</v>
      </c>
      <c r="H940" s="25">
        <v>392</v>
      </c>
      <c r="I940" s="25">
        <v>392</v>
      </c>
      <c r="O940" t="e">
        <f>(O938-3*O937)/O939</f>
        <v>#DIV/0!</v>
      </c>
    </row>
    <row r="941" spans="1:16" ht="15.75" customHeight="1" x14ac:dyDescent="0.35">
      <c r="B941" s="20" t="s">
        <v>250</v>
      </c>
      <c r="C941" s="26">
        <v>0.25</v>
      </c>
      <c r="D941" s="26">
        <v>0.3298611111111111</v>
      </c>
      <c r="E941" s="26">
        <v>0.4375</v>
      </c>
      <c r="F941" s="26">
        <f>E941+'Lookup Tables'!$N$1</f>
        <v>0.45833333333333331</v>
      </c>
      <c r="G941" s="26">
        <f>F941+'Lookup Tables'!$N$1</f>
        <v>0.47916666666666663</v>
      </c>
      <c r="H941" s="26">
        <f>G941+'Lookup Tables'!$N$1</f>
        <v>0.49999999999999994</v>
      </c>
      <c r="I941" s="26">
        <f>H941+'Lookup Tables'!$N$1</f>
        <v>0.52083333333333326</v>
      </c>
      <c r="N941">
        <f>MAX(F938:M938)-O941</f>
        <v>23</v>
      </c>
      <c r="O941" t="str">
        <f>RIGHT(E938,3)</f>
        <v>373</v>
      </c>
    </row>
    <row r="942" spans="1:16" ht="15.75" customHeight="1" x14ac:dyDescent="0.35">
      <c r="B942" s="20" t="s">
        <v>251</v>
      </c>
      <c r="C942" s="27">
        <v>0.2</v>
      </c>
      <c r="D942" s="27">
        <v>0.5</v>
      </c>
      <c r="E942" s="27"/>
      <c r="F942" s="27"/>
      <c r="G942" s="27"/>
      <c r="H942" s="27"/>
      <c r="I942" s="27"/>
      <c r="N942" t="str">
        <f xml:space="preserve">  N941 &amp; " degrees this time"</f>
        <v>23 degrees this time</v>
      </c>
    </row>
    <row r="943" spans="1:16" ht="15.75" customHeight="1" x14ac:dyDescent="0.35">
      <c r="B943" s="20" t="s">
        <v>252</v>
      </c>
      <c r="C943" s="27">
        <v>0.9</v>
      </c>
      <c r="D943" s="27">
        <v>0.8</v>
      </c>
      <c r="E943" s="27">
        <v>0.7</v>
      </c>
      <c r="F943" s="27"/>
      <c r="G943" s="27">
        <v>0.5</v>
      </c>
      <c r="H943" s="27"/>
      <c r="I943" s="27"/>
    </row>
    <row r="944" spans="1:16" ht="15.75" customHeight="1" x14ac:dyDescent="0.35">
      <c r="B944" s="20"/>
      <c r="D944" s="11"/>
      <c r="E944" s="11"/>
      <c r="F944" s="28"/>
      <c r="H944" s="1"/>
      <c r="I944" s="1"/>
    </row>
    <row r="945" spans="1:16" ht="15.75" customHeight="1" x14ac:dyDescent="0.35">
      <c r="C945" s="1"/>
      <c r="G945" s="1" t="s">
        <v>253</v>
      </c>
      <c r="K945" s="12"/>
      <c r="L945" s="9"/>
      <c r="M945" s="9"/>
    </row>
    <row r="946" spans="1:16" ht="15.75" customHeight="1" x14ac:dyDescent="0.35">
      <c r="B946" s="20"/>
      <c r="G946" s="1"/>
      <c r="H946" s="1"/>
      <c r="K946" s="9"/>
      <c r="L946" s="9"/>
      <c r="M946" s="9"/>
    </row>
    <row r="947" spans="1:16" ht="15.75" customHeight="1" x14ac:dyDescent="0.35">
      <c r="B947" s="20"/>
      <c r="G947" s="1"/>
      <c r="H947" s="1"/>
      <c r="K947" s="9" t="s">
        <v>254</v>
      </c>
      <c r="L947" s="9"/>
      <c r="M947" s="9"/>
    </row>
    <row r="948" spans="1:16" ht="15.75" customHeight="1" x14ac:dyDescent="0.35">
      <c r="B948" s="9"/>
      <c r="C948" s="9"/>
      <c r="D948" s="9"/>
      <c r="E948" s="9"/>
      <c r="F948" s="12"/>
      <c r="G948" s="12"/>
      <c r="H948" s="12"/>
      <c r="I948" s="12"/>
      <c r="J948" s="12"/>
      <c r="K948" s="12"/>
      <c r="L948" s="1"/>
    </row>
    <row r="949" spans="1:16" ht="15.75" customHeight="1" x14ac:dyDescent="0.35">
      <c r="B949" s="13"/>
      <c r="C949" s="13"/>
      <c r="D949" s="15"/>
      <c r="F949" s="33" t="s">
        <v>316</v>
      </c>
      <c r="H949" s="14" t="s">
        <v>255</v>
      </c>
      <c r="I949" s="14"/>
    </row>
    <row r="950" spans="1:16" x14ac:dyDescent="0.35">
      <c r="B950" s="13" t="s">
        <v>5</v>
      </c>
      <c r="C950" s="13" t="s">
        <v>1</v>
      </c>
      <c r="D950" s="15" t="str">
        <f>VLOOKUP(A951,Inventory!$A$4:$K$1139,7)</f>
        <v xml:space="preserve">Sweet Marias                       </v>
      </c>
      <c r="F950" s="13" t="s">
        <v>235</v>
      </c>
      <c r="G950" s="16"/>
      <c r="H950" s="14" t="s">
        <v>256</v>
      </c>
    </row>
    <row r="951" spans="1:16" x14ac:dyDescent="0.35">
      <c r="A951">
        <v>174</v>
      </c>
      <c r="B951" s="5">
        <v>45073</v>
      </c>
      <c r="C951" s="15" t="str">
        <f>VLOOKUP(A951,Inventory!$A$4:$K$1139,2)</f>
        <v>Ethiopia Organic Yebuna Terara SWP Decaf 2022</v>
      </c>
      <c r="F951" s="18" t="s">
        <v>257</v>
      </c>
      <c r="G951" s="2" t="s">
        <v>238</v>
      </c>
      <c r="P951" s="8"/>
    </row>
    <row r="952" spans="1:16" x14ac:dyDescent="0.35">
      <c r="H952" s="2" t="s">
        <v>258</v>
      </c>
    </row>
    <row r="953" spans="1:16" x14ac:dyDescent="0.35">
      <c r="C953" s="11" t="s">
        <v>240</v>
      </c>
      <c r="D953" s="11" t="s">
        <v>241</v>
      </c>
      <c r="E953" s="11">
        <v>370</v>
      </c>
      <c r="F953" s="11">
        <v>377</v>
      </c>
      <c r="G953" s="11">
        <v>382</v>
      </c>
      <c r="H953" s="11">
        <v>390</v>
      </c>
      <c r="I953" s="11"/>
      <c r="J953" s="11"/>
      <c r="K953" s="11"/>
      <c r="L953" s="11"/>
    </row>
    <row r="954" spans="1:16" ht="15.75" customHeight="1" x14ac:dyDescent="0.35">
      <c r="B954" s="20" t="s">
        <v>242</v>
      </c>
      <c r="C954" s="30"/>
      <c r="D954" s="30"/>
      <c r="E954" s="23" t="s">
        <v>244</v>
      </c>
      <c r="F954" s="23" t="s">
        <v>245</v>
      </c>
      <c r="G954" s="23" t="s">
        <v>246</v>
      </c>
      <c r="H954" s="23" t="s">
        <v>247</v>
      </c>
      <c r="I954" s="23" t="s">
        <v>259</v>
      </c>
      <c r="J954" s="23" t="s">
        <v>260</v>
      </c>
      <c r="K954" s="23" t="s">
        <v>261</v>
      </c>
      <c r="O954" s="4"/>
    </row>
    <row r="955" spans="1:16" ht="1" customHeight="1" x14ac:dyDescent="0.35">
      <c r="B955" s="24" t="s">
        <v>249</v>
      </c>
      <c r="C955" s="25">
        <v>320</v>
      </c>
      <c r="D955" s="25">
        <v>350</v>
      </c>
      <c r="E955" s="25">
        <v>377</v>
      </c>
      <c r="F955" s="25">
        <v>384</v>
      </c>
      <c r="G955" s="25">
        <v>388</v>
      </c>
      <c r="H955" s="25">
        <v>392</v>
      </c>
      <c r="I955" s="25">
        <v>395</v>
      </c>
      <c r="J955" s="25">
        <v>415</v>
      </c>
      <c r="K955" s="25">
        <v>415</v>
      </c>
      <c r="O955" t="e">
        <f>(O953-3*O952)/O954</f>
        <v>#DIV/0!</v>
      </c>
    </row>
    <row r="956" spans="1:16" ht="15.75" customHeight="1" x14ac:dyDescent="0.35">
      <c r="B956" s="20" t="s">
        <v>250</v>
      </c>
      <c r="C956" s="26">
        <v>0.23611111111111113</v>
      </c>
      <c r="D956" s="26">
        <v>0.3263888888888889</v>
      </c>
      <c r="E956" s="26">
        <v>0.44791666666666669</v>
      </c>
      <c r="F956" s="26">
        <f>E956+'Lookup Tables'!$N$1</f>
        <v>0.46875</v>
      </c>
      <c r="G956" s="26">
        <f>F956+'Lookup Tables'!$N$1</f>
        <v>0.48958333333333331</v>
      </c>
      <c r="H956" s="26">
        <f>G956+'Lookup Tables'!$N$1</f>
        <v>0.51041666666666663</v>
      </c>
      <c r="I956" s="26">
        <f>H956+'Lookup Tables'!$N$1</f>
        <v>0.53125</v>
      </c>
      <c r="J956" s="26">
        <f>I956+'Lookup Tables'!$M$1</f>
        <v>0.54166666666666663</v>
      </c>
      <c r="K956" s="26">
        <f>J956+'Lookup Tables'!$M$1</f>
        <v>0.55208333333333326</v>
      </c>
      <c r="N956">
        <f>MAX(F953:M953)-O956</f>
        <v>20</v>
      </c>
      <c r="O956" t="str">
        <f>RIGHT(E953,3)</f>
        <v>370</v>
      </c>
    </row>
    <row r="957" spans="1:16" ht="15.75" customHeight="1" x14ac:dyDescent="0.35">
      <c r="B957" s="20" t="s">
        <v>251</v>
      </c>
      <c r="C957" s="27">
        <v>0.2</v>
      </c>
      <c r="D957" s="27">
        <v>0.5</v>
      </c>
      <c r="E957" s="27"/>
      <c r="F957" s="27"/>
      <c r="G957" s="27"/>
      <c r="H957" s="27"/>
      <c r="I957" s="27"/>
      <c r="J957" s="27"/>
      <c r="K957" s="25"/>
      <c r="N957" t="str">
        <f xml:space="preserve">  N956 &amp; " degrees this time"</f>
        <v>20 degrees this time</v>
      </c>
    </row>
    <row r="958" spans="1:16" ht="15.75" customHeight="1" x14ac:dyDescent="0.35">
      <c r="B958" s="20" t="s">
        <v>252</v>
      </c>
      <c r="C958" s="27">
        <v>0.9</v>
      </c>
      <c r="D958" s="27">
        <v>0.7</v>
      </c>
      <c r="E958" s="27">
        <v>0.6</v>
      </c>
      <c r="F958" s="27"/>
      <c r="G958" s="27"/>
      <c r="H958" s="27"/>
      <c r="I958" s="27"/>
      <c r="J958" s="27"/>
      <c r="K958" s="27"/>
    </row>
    <row r="959" spans="1:16" ht="15.75" customHeight="1" x14ac:dyDescent="0.35">
      <c r="B959" s="20"/>
      <c r="D959" s="11"/>
      <c r="E959" s="11"/>
      <c r="F959" s="28"/>
      <c r="H959" s="1"/>
    </row>
    <row r="960" spans="1:16" ht="15.75" customHeight="1" x14ac:dyDescent="0.35">
      <c r="B960" s="1" t="s">
        <v>262</v>
      </c>
      <c r="F960" t="s">
        <v>263</v>
      </c>
      <c r="G960" s="1"/>
      <c r="K960" s="12"/>
      <c r="L960" s="9"/>
      <c r="M960" s="9"/>
    </row>
    <row r="961" spans="2:16" ht="15.75" customHeight="1" x14ac:dyDescent="0.35">
      <c r="B961" s="20" t="s">
        <v>264</v>
      </c>
      <c r="D961" s="29"/>
      <c r="F961" t="s">
        <v>265</v>
      </c>
      <c r="G961" s="1"/>
      <c r="H961" s="1"/>
      <c r="K961" s="9" t="s">
        <v>266</v>
      </c>
      <c r="L961" s="9"/>
      <c r="M961" s="9"/>
    </row>
    <row r="962" spans="2:16" ht="15.75" customHeight="1" x14ac:dyDescent="0.35">
      <c r="B962" s="20" t="s">
        <v>267</v>
      </c>
      <c r="F962" t="s">
        <v>268</v>
      </c>
      <c r="G962" s="1"/>
      <c r="H962" s="1"/>
      <c r="K962" s="9" t="s">
        <v>254</v>
      </c>
      <c r="L962" s="9"/>
      <c r="M962" s="9"/>
    </row>
    <row r="963" spans="2:16" ht="15.75" customHeight="1" x14ac:dyDescent="0.35">
      <c r="B963" s="9"/>
      <c r="C963" s="9"/>
      <c r="D963" s="9"/>
      <c r="E963" s="9"/>
      <c r="F963" s="12"/>
      <c r="G963" s="12"/>
      <c r="H963" s="12"/>
      <c r="I963" s="12"/>
      <c r="J963" s="12"/>
      <c r="K963" s="12"/>
      <c r="L963" s="1"/>
    </row>
    <row r="964" spans="2:16" ht="15.75" customHeight="1" x14ac:dyDescent="0.35">
      <c r="B964" s="13"/>
      <c r="C964" s="13"/>
      <c r="D964" s="13"/>
      <c r="E964" s="13"/>
      <c r="G964" s="13"/>
      <c r="I964" s="14"/>
    </row>
    <row r="965" spans="2:16" x14ac:dyDescent="0.35">
      <c r="B965" s="13" t="s">
        <v>5</v>
      </c>
      <c r="C965" s="13" t="s">
        <v>1</v>
      </c>
      <c r="D965" s="15" t="e">
        <f>VLOOKUP(A966,Inventory!$A$4:$K$1139,7)</f>
        <v>#N/A</v>
      </c>
      <c r="F965" s="13" t="s">
        <v>235</v>
      </c>
      <c r="G965" s="16"/>
      <c r="H965" s="14" t="s">
        <v>236</v>
      </c>
      <c r="L965" s="17"/>
      <c r="M965" s="17"/>
    </row>
    <row r="966" spans="2:16" x14ac:dyDescent="0.35">
      <c r="B966" s="5">
        <v>45051</v>
      </c>
      <c r="C966" s="15" t="s">
        <v>371</v>
      </c>
      <c r="F966" s="18" t="s">
        <v>237</v>
      </c>
      <c r="G966" s="2" t="s">
        <v>238</v>
      </c>
      <c r="L966" s="17"/>
      <c r="M966" s="17"/>
      <c r="P966" s="8"/>
    </row>
    <row r="967" spans="2:16" x14ac:dyDescent="0.35">
      <c r="I967" s="2" t="s">
        <v>239</v>
      </c>
      <c r="J967" s="1" t="s">
        <v>16</v>
      </c>
      <c r="L967" s="19"/>
      <c r="M967" s="19"/>
    </row>
    <row r="968" spans="2:16" x14ac:dyDescent="0.35">
      <c r="C968" s="11" t="s">
        <v>240</v>
      </c>
      <c r="D968" s="11" t="s">
        <v>241</v>
      </c>
      <c r="E968" s="11">
        <v>373</v>
      </c>
      <c r="F968" s="11">
        <v>380</v>
      </c>
      <c r="G968" s="11">
        <v>388</v>
      </c>
      <c r="H968" s="11">
        <v>396</v>
      </c>
      <c r="I968" s="11">
        <v>400</v>
      </c>
      <c r="J968" s="11" t="s">
        <v>370</v>
      </c>
      <c r="K968" s="11"/>
      <c r="L968" s="11"/>
    </row>
    <row r="969" spans="2:16" ht="15.75" customHeight="1" x14ac:dyDescent="0.35">
      <c r="B969" s="20" t="s">
        <v>242</v>
      </c>
      <c r="C969" s="21"/>
      <c r="D969" s="22" t="s">
        <v>333</v>
      </c>
      <c r="E969" s="23" t="s">
        <v>244</v>
      </c>
      <c r="F969" s="23" t="s">
        <v>245</v>
      </c>
      <c r="G969" s="23" t="s">
        <v>246</v>
      </c>
      <c r="H969" s="23" t="s">
        <v>247</v>
      </c>
      <c r="I969" s="23" t="s">
        <v>259</v>
      </c>
      <c r="O969" s="4"/>
    </row>
    <row r="970" spans="2:16" ht="1" customHeight="1" x14ac:dyDescent="0.35">
      <c r="B970" s="24" t="s">
        <v>249</v>
      </c>
      <c r="C970" s="26">
        <v>0.24305555555555555</v>
      </c>
      <c r="D970" s="26">
        <v>0.3263888888888889</v>
      </c>
      <c r="E970" s="26">
        <v>0.42708333333333331</v>
      </c>
      <c r="F970" s="25">
        <v>384</v>
      </c>
      <c r="G970" s="25">
        <v>388</v>
      </c>
      <c r="H970" s="25">
        <v>392</v>
      </c>
      <c r="I970" s="25">
        <v>415</v>
      </c>
      <c r="O970" t="e">
        <f>(O968-3*O967)/O969</f>
        <v>#DIV/0!</v>
      </c>
    </row>
    <row r="971" spans="2:16" ht="15.75" customHeight="1" x14ac:dyDescent="0.35">
      <c r="B971" s="20" t="s">
        <v>250</v>
      </c>
      <c r="C971" s="26">
        <v>0.24305555555555555</v>
      </c>
      <c r="D971" s="26">
        <v>0.3263888888888889</v>
      </c>
      <c r="E971" s="26">
        <v>0.42708333333333331</v>
      </c>
      <c r="F971" s="26">
        <f>E971+'Lookup Tables'!$N$1</f>
        <v>0.44791666666666663</v>
      </c>
      <c r="G971" s="26">
        <f>F971+'Lookup Tables'!$N$1</f>
        <v>0.46874999999999994</v>
      </c>
      <c r="H971" s="26">
        <f>G971+'Lookup Tables'!$N$1</f>
        <v>0.48958333333333326</v>
      </c>
      <c r="I971" s="26">
        <f>H971+'Lookup Tables'!$N$1</f>
        <v>0.51041666666666663</v>
      </c>
      <c r="N971">
        <f>MAX(F968:M968)-O971</f>
        <v>27</v>
      </c>
      <c r="O971" t="str">
        <f>RIGHT(E968,3)</f>
        <v>373</v>
      </c>
    </row>
    <row r="972" spans="2:16" ht="15.75" customHeight="1" x14ac:dyDescent="0.35">
      <c r="B972" s="20" t="s">
        <v>251</v>
      </c>
      <c r="C972" s="27">
        <v>0.2</v>
      </c>
      <c r="D972" s="27">
        <v>0.5</v>
      </c>
      <c r="E972" s="27"/>
      <c r="F972" s="27"/>
      <c r="G972" s="27"/>
      <c r="H972" s="27"/>
      <c r="I972" s="25"/>
      <c r="N972" t="str">
        <f xml:space="preserve">  N971 &amp; " degrees this time"</f>
        <v>27 degrees this time</v>
      </c>
    </row>
    <row r="973" spans="2:16" ht="15.75" customHeight="1" x14ac:dyDescent="0.35">
      <c r="B973" s="20" t="s">
        <v>252</v>
      </c>
      <c r="C973" s="27">
        <v>0.9</v>
      </c>
      <c r="D973" s="27">
        <v>0.8</v>
      </c>
      <c r="E973" s="27">
        <v>0.6</v>
      </c>
      <c r="F973" s="27"/>
      <c r="G973" s="27"/>
      <c r="H973" s="27"/>
      <c r="I973" s="27" t="s">
        <v>275</v>
      </c>
    </row>
    <row r="974" spans="2:16" ht="15.75" customHeight="1" x14ac:dyDescent="0.35">
      <c r="B974" s="20"/>
      <c r="D974" s="11"/>
      <c r="E974" s="11"/>
      <c r="F974" s="28"/>
    </row>
    <row r="975" spans="2:16" ht="15.75" customHeight="1" x14ac:dyDescent="0.35">
      <c r="C975" s="1"/>
      <c r="G975" s="1" t="s">
        <v>253</v>
      </c>
      <c r="K975" s="12"/>
      <c r="L975" s="9"/>
      <c r="M975" s="9"/>
    </row>
    <row r="976" spans="2:16" ht="15.75" customHeight="1" x14ac:dyDescent="0.35">
      <c r="B976" s="20"/>
      <c r="G976" s="1"/>
      <c r="H976" s="1"/>
      <c r="K976" s="9"/>
      <c r="L976" s="9"/>
      <c r="M976" s="9"/>
    </row>
    <row r="977" spans="2:16" ht="15.75" customHeight="1" x14ac:dyDescent="0.35">
      <c r="B977" s="20"/>
      <c r="G977" s="1"/>
      <c r="H977" s="1"/>
      <c r="K977" s="9" t="s">
        <v>254</v>
      </c>
      <c r="L977" s="9"/>
      <c r="M977" s="9"/>
    </row>
    <row r="978" spans="2:16" ht="15.75" customHeight="1" x14ac:dyDescent="0.35">
      <c r="B978" s="9"/>
      <c r="C978" s="9"/>
      <c r="D978" s="9"/>
      <c r="E978" s="9"/>
      <c r="F978" s="12"/>
      <c r="G978" s="12"/>
      <c r="H978" s="12"/>
      <c r="I978" s="12"/>
      <c r="J978" s="12"/>
      <c r="K978" s="12"/>
      <c r="L978" s="1"/>
    </row>
    <row r="979" spans="2:16" ht="15.75" customHeight="1" x14ac:dyDescent="0.35">
      <c r="B979" s="13"/>
      <c r="C979" s="13"/>
      <c r="D979" s="15"/>
      <c r="H979" s="14" t="s">
        <v>255</v>
      </c>
      <c r="I979" s="14"/>
    </row>
    <row r="980" spans="2:16" x14ac:dyDescent="0.35">
      <c r="B980" s="13" t="s">
        <v>5</v>
      </c>
      <c r="C980" s="13" t="s">
        <v>1</v>
      </c>
      <c r="D980" s="15" t="e">
        <f>VLOOKUP(A981,Inventory!$A$4:$K$1139,7)</f>
        <v>#N/A</v>
      </c>
      <c r="F980" s="13" t="s">
        <v>235</v>
      </c>
      <c r="G980" s="16"/>
      <c r="H980" s="14" t="s">
        <v>256</v>
      </c>
      <c r="K980" s="12" t="s">
        <v>334</v>
      </c>
      <c r="L980" s="9"/>
      <c r="M980" s="9"/>
    </row>
    <row r="981" spans="2:16" x14ac:dyDescent="0.35">
      <c r="B981" s="5">
        <v>45051</v>
      </c>
      <c r="C981" s="15" t="s">
        <v>371</v>
      </c>
      <c r="F981" s="18" t="s">
        <v>257</v>
      </c>
      <c r="G981" s="2" t="s">
        <v>238</v>
      </c>
      <c r="P981" s="8"/>
    </row>
    <row r="982" spans="2:16" x14ac:dyDescent="0.35">
      <c r="H982" s="2" t="s">
        <v>258</v>
      </c>
    </row>
    <row r="983" spans="2:16" x14ac:dyDescent="0.35">
      <c r="C983" s="11" t="s">
        <v>240</v>
      </c>
      <c r="D983" s="11" t="s">
        <v>241</v>
      </c>
      <c r="E983" s="11">
        <v>368</v>
      </c>
      <c r="F983" s="11">
        <v>372</v>
      </c>
      <c r="G983" s="11">
        <v>377</v>
      </c>
      <c r="H983" s="11">
        <v>383</v>
      </c>
      <c r="I983" s="11">
        <v>393</v>
      </c>
      <c r="J983" s="11"/>
      <c r="K983" s="11"/>
      <c r="L983" s="11"/>
    </row>
    <row r="984" spans="2:16" ht="15.75" customHeight="1" x14ac:dyDescent="0.35">
      <c r="B984" s="20" t="s">
        <v>242</v>
      </c>
      <c r="C984" s="21"/>
      <c r="D984" s="22" t="s">
        <v>294</v>
      </c>
      <c r="E984" s="23" t="s">
        <v>244</v>
      </c>
      <c r="F984" s="23" t="s">
        <v>245</v>
      </c>
      <c r="G984" s="23" t="s">
        <v>246</v>
      </c>
      <c r="H984" s="23" t="s">
        <v>247</v>
      </c>
      <c r="I984" s="23" t="s">
        <v>259</v>
      </c>
      <c r="J984" s="23" t="s">
        <v>260</v>
      </c>
      <c r="K984" s="23" t="s">
        <v>261</v>
      </c>
      <c r="O984" s="4"/>
    </row>
    <row r="985" spans="2:16" ht="1" customHeight="1" x14ac:dyDescent="0.35">
      <c r="B985" s="24" t="s">
        <v>249</v>
      </c>
      <c r="C985" s="25">
        <v>320</v>
      </c>
      <c r="D985" s="25">
        <v>350</v>
      </c>
      <c r="E985" s="25">
        <v>377</v>
      </c>
      <c r="F985" s="25">
        <v>384</v>
      </c>
      <c r="G985" s="25">
        <v>388</v>
      </c>
      <c r="H985" s="25">
        <v>392</v>
      </c>
      <c r="I985" s="25">
        <v>395</v>
      </c>
      <c r="J985" s="25">
        <v>415</v>
      </c>
      <c r="K985" s="25">
        <v>415</v>
      </c>
      <c r="O985" t="e">
        <f>(O983-3*O982)/O984</f>
        <v>#DIV/0!</v>
      </c>
    </row>
    <row r="986" spans="2:16" ht="15.75" customHeight="1" x14ac:dyDescent="0.35">
      <c r="B986" s="20" t="s">
        <v>250</v>
      </c>
      <c r="C986" s="26">
        <v>0.23611111111111113</v>
      </c>
      <c r="D986" s="26">
        <v>0.31944444444444448</v>
      </c>
      <c r="E986" s="26">
        <v>0.42708333333333331</v>
      </c>
      <c r="F986" s="26">
        <f>E986+'Lookup Tables'!$N$1</f>
        <v>0.44791666666666663</v>
      </c>
      <c r="G986" s="26">
        <f>F986+'Lookup Tables'!$N$1</f>
        <v>0.46874999999999994</v>
      </c>
      <c r="H986" s="26">
        <f>G986+'Lookup Tables'!$N$1</f>
        <v>0.48958333333333326</v>
      </c>
      <c r="I986" s="26">
        <f>H986+'Lookup Tables'!$N$1</f>
        <v>0.51041666666666663</v>
      </c>
      <c r="J986" s="26">
        <f>I986+'Lookup Tables'!$M$1</f>
        <v>0.52083333333333326</v>
      </c>
      <c r="K986" s="26">
        <f>J986+'Lookup Tables'!$M$1</f>
        <v>0.53124999999999989</v>
      </c>
      <c r="N986">
        <f>MAX(F983:M983)-O986</f>
        <v>25</v>
      </c>
      <c r="O986" t="str">
        <f>RIGHT(E983,3)</f>
        <v>368</v>
      </c>
    </row>
    <row r="987" spans="2:16" ht="15.75" customHeight="1" x14ac:dyDescent="0.35">
      <c r="B987" s="20" t="s">
        <v>251</v>
      </c>
      <c r="C987" s="27">
        <v>0.2</v>
      </c>
      <c r="D987" s="27">
        <v>0.5</v>
      </c>
      <c r="E987" s="27"/>
      <c r="F987" s="27"/>
      <c r="G987" s="27"/>
      <c r="H987" s="27"/>
      <c r="I987" s="27"/>
      <c r="J987" s="27"/>
      <c r="K987" s="25"/>
      <c r="N987" t="str">
        <f xml:space="preserve">  N986 &amp; " degrees this time"</f>
        <v>25 degrees this time</v>
      </c>
    </row>
    <row r="988" spans="2:16" ht="15.75" customHeight="1" x14ac:dyDescent="0.35">
      <c r="B988" s="20" t="s">
        <v>252</v>
      </c>
      <c r="C988" s="27">
        <v>0.9</v>
      </c>
      <c r="D988" s="27">
        <v>0.7</v>
      </c>
      <c r="E988" s="27">
        <v>0.6</v>
      </c>
      <c r="F988" s="27"/>
      <c r="G988" s="27"/>
      <c r="H988" s="27"/>
      <c r="I988" s="27"/>
      <c r="J988" s="27"/>
      <c r="K988" s="27"/>
    </row>
    <row r="989" spans="2:16" ht="15.75" customHeight="1" x14ac:dyDescent="0.35">
      <c r="B989" s="20"/>
      <c r="D989" s="11"/>
      <c r="E989" s="11"/>
      <c r="F989" s="28"/>
      <c r="H989" s="1"/>
    </row>
    <row r="990" spans="2:16" ht="15.75" customHeight="1" x14ac:dyDescent="0.35">
      <c r="B990" s="1" t="s">
        <v>262</v>
      </c>
      <c r="F990" t="s">
        <v>263</v>
      </c>
      <c r="G990" s="1"/>
      <c r="K990" s="12"/>
      <c r="L990" s="9"/>
      <c r="M990" s="9"/>
    </row>
    <row r="991" spans="2:16" ht="15.75" customHeight="1" x14ac:dyDescent="0.35">
      <c r="B991" s="20" t="s">
        <v>264</v>
      </c>
      <c r="D991" s="29"/>
      <c r="F991" t="s">
        <v>265</v>
      </c>
      <c r="G991" s="1"/>
      <c r="H991" s="1"/>
      <c r="K991" s="9" t="s">
        <v>266</v>
      </c>
      <c r="L991" s="9"/>
      <c r="M991" s="9"/>
    </row>
    <row r="992" spans="2:16" ht="15.75" customHeight="1" x14ac:dyDescent="0.35">
      <c r="B992" s="20" t="s">
        <v>267</v>
      </c>
      <c r="F992" t="s">
        <v>268</v>
      </c>
      <c r="G992" s="1"/>
      <c r="H992" s="1"/>
      <c r="K992" s="9" t="s">
        <v>254</v>
      </c>
      <c r="L992" s="9"/>
      <c r="M992" s="9"/>
    </row>
    <row r="993" spans="1:16" ht="15.75" customHeight="1" x14ac:dyDescent="0.35">
      <c r="B993" s="9"/>
      <c r="C993" s="9"/>
      <c r="D993" s="9"/>
      <c r="E993" s="9"/>
      <c r="F993" s="12"/>
      <c r="G993" s="12"/>
      <c r="H993" s="12"/>
      <c r="I993" s="12"/>
      <c r="J993" s="12"/>
      <c r="K993" s="12"/>
      <c r="L993" s="1"/>
    </row>
    <row r="994" spans="1:16" ht="15.75" customHeight="1" x14ac:dyDescent="0.35">
      <c r="B994" s="13"/>
      <c r="C994" s="13"/>
      <c r="D994" s="15"/>
      <c r="G994" s="15"/>
      <c r="H994" s="14" t="s">
        <v>255</v>
      </c>
      <c r="I994" s="1"/>
      <c r="J994" s="2"/>
      <c r="K994" s="2"/>
      <c r="L994" s="8"/>
    </row>
    <row r="995" spans="1:16" x14ac:dyDescent="0.35">
      <c r="B995" s="13" t="s">
        <v>5</v>
      </c>
      <c r="C995" s="13" t="s">
        <v>1</v>
      </c>
      <c r="D995" s="15" t="str">
        <f>VLOOKUP(A996,Inventory!$A$4:$K$1139,7)</f>
        <v xml:space="preserve">Klatch                             </v>
      </c>
      <c r="F995" s="13" t="s">
        <v>235</v>
      </c>
      <c r="G995" s="16"/>
      <c r="L995" s="8"/>
      <c r="M995" s="17"/>
    </row>
    <row r="996" spans="1:16" x14ac:dyDescent="0.35">
      <c r="A996">
        <v>167</v>
      </c>
      <c r="B996" s="5">
        <v>45038</v>
      </c>
      <c r="C996" s="15" t="str">
        <f>VLOOKUP(A996,Inventory!$A$4:$K$1139,2)</f>
        <v>Uganda Sipi Falls Organic 2020</v>
      </c>
      <c r="E996" s="11"/>
      <c r="F996" s="31" t="s">
        <v>291</v>
      </c>
      <c r="G996" s="2" t="s">
        <v>286</v>
      </c>
      <c r="M996" s="17"/>
      <c r="P996" s="8"/>
    </row>
    <row r="997" spans="1:16" x14ac:dyDescent="0.35">
      <c r="D997" s="11"/>
      <c r="E997" s="11"/>
      <c r="G997" s="16"/>
      <c r="L997" s="19"/>
      <c r="M997" s="19"/>
    </row>
    <row r="998" spans="1:16" x14ac:dyDescent="0.35">
      <c r="B998" s="20"/>
      <c r="C998" s="11" t="s">
        <v>240</v>
      </c>
      <c r="D998" s="11" t="s">
        <v>241</v>
      </c>
      <c r="E998" s="11">
        <v>367</v>
      </c>
      <c r="F998" s="11">
        <v>374</v>
      </c>
      <c r="G998" s="11">
        <v>381</v>
      </c>
      <c r="H998" s="11">
        <v>388</v>
      </c>
      <c r="I998" s="11">
        <v>397</v>
      </c>
      <c r="J998" s="11"/>
      <c r="K998" s="11"/>
      <c r="L998" s="11"/>
    </row>
    <row r="999" spans="1:16" ht="15.75" customHeight="1" x14ac:dyDescent="0.35">
      <c r="B999" s="20" t="s">
        <v>242</v>
      </c>
      <c r="C999" s="30"/>
      <c r="D999" s="30"/>
      <c r="E999" s="23" t="s">
        <v>244</v>
      </c>
      <c r="F999" s="23" t="s">
        <v>245</v>
      </c>
      <c r="G999" s="23" t="s">
        <v>246</v>
      </c>
      <c r="H999" s="23" t="s">
        <v>247</v>
      </c>
      <c r="I999" s="23" t="s">
        <v>259</v>
      </c>
      <c r="O999" s="4"/>
    </row>
    <row r="1000" spans="1:16" ht="1" customHeight="1" x14ac:dyDescent="0.35">
      <c r="B1000" s="24" t="s">
        <v>249</v>
      </c>
      <c r="C1000" s="25"/>
      <c r="D1000" s="25"/>
      <c r="E1000" s="25"/>
      <c r="F1000" s="25"/>
      <c r="G1000" s="25"/>
      <c r="H1000" s="25"/>
      <c r="I1000" s="25"/>
      <c r="O1000" t="e">
        <f>(O998-3*O997)/O999</f>
        <v>#DIV/0!</v>
      </c>
    </row>
    <row r="1001" spans="1:16" ht="15.75" customHeight="1" x14ac:dyDescent="0.35">
      <c r="B1001" s="20" t="s">
        <v>250</v>
      </c>
      <c r="C1001" s="26">
        <v>0.19791666666666666</v>
      </c>
      <c r="D1001" s="26">
        <v>0.28125</v>
      </c>
      <c r="E1001" s="26">
        <v>0.36805555555555558</v>
      </c>
      <c r="F1001" s="26">
        <f>E1001+'Lookup Tables'!$N$1</f>
        <v>0.3888888888888889</v>
      </c>
      <c r="G1001" s="26">
        <f>F1001+'Lookup Tables'!$N$1</f>
        <v>0.40972222222222221</v>
      </c>
      <c r="H1001" s="26">
        <f>G1001+'Lookup Tables'!$N$1</f>
        <v>0.43055555555555552</v>
      </c>
      <c r="I1001" s="26">
        <f>H1001+'Lookup Tables'!$N$1</f>
        <v>0.45138888888888884</v>
      </c>
      <c r="N1001">
        <f>MAX(F998:M998)-O1001</f>
        <v>30</v>
      </c>
      <c r="O1001" t="str">
        <f>RIGHT(E998,3)</f>
        <v>367</v>
      </c>
    </row>
    <row r="1002" spans="1:16" ht="15.75" customHeight="1" x14ac:dyDescent="0.35">
      <c r="B1002" s="20" t="s">
        <v>251</v>
      </c>
      <c r="C1002" s="27">
        <v>0.2</v>
      </c>
      <c r="D1002" s="27">
        <v>0.5</v>
      </c>
      <c r="E1002" s="27"/>
      <c r="F1002" s="27"/>
      <c r="G1002" s="27" t="s">
        <v>274</v>
      </c>
      <c r="H1002" s="25"/>
      <c r="I1002" s="27"/>
      <c r="N1002" t="str">
        <f xml:space="preserve">  N1001 &amp; " degrees this time"</f>
        <v>30 degrees this time</v>
      </c>
    </row>
    <row r="1003" spans="1:16" ht="15.75" customHeight="1" x14ac:dyDescent="0.35">
      <c r="B1003" s="20" t="s">
        <v>252</v>
      </c>
      <c r="C1003" s="27">
        <v>0.9</v>
      </c>
      <c r="D1003" s="27">
        <v>0.8</v>
      </c>
      <c r="E1003" s="27">
        <v>0.6</v>
      </c>
      <c r="F1003" s="27">
        <v>0.4</v>
      </c>
      <c r="G1003" s="27" t="s">
        <v>274</v>
      </c>
      <c r="H1003" s="27"/>
      <c r="I1003" s="27" t="s">
        <v>275</v>
      </c>
    </row>
    <row r="1004" spans="1:16" ht="15.75" customHeight="1" x14ac:dyDescent="0.35">
      <c r="B1004" s="20"/>
      <c r="D1004" s="11"/>
      <c r="E1004" s="11"/>
      <c r="F1004" s="11"/>
      <c r="H1004" s="35"/>
    </row>
    <row r="1005" spans="1:16" ht="15.75" customHeight="1" x14ac:dyDescent="0.35">
      <c r="B1005" s="20"/>
      <c r="G1005" s="1" t="s">
        <v>304</v>
      </c>
      <c r="K1005" s="32"/>
      <c r="L1005" s="9"/>
      <c r="M1005" s="9"/>
    </row>
    <row r="1006" spans="1:16" ht="15.75" customHeight="1" x14ac:dyDescent="0.35">
      <c r="B1006" s="20"/>
      <c r="G1006" s="1"/>
      <c r="H1006" s="1"/>
      <c r="K1006" s="32"/>
      <c r="L1006" s="9"/>
      <c r="M1006" s="9"/>
    </row>
    <row r="1007" spans="1:16" ht="15.75" customHeight="1" x14ac:dyDescent="0.35">
      <c r="B1007" s="20"/>
      <c r="G1007" s="1"/>
      <c r="H1007" s="1"/>
      <c r="K1007" s="9" t="s">
        <v>300</v>
      </c>
      <c r="L1007" s="9"/>
      <c r="M1007" s="9"/>
    </row>
    <row r="1008" spans="1:16" ht="15.75" customHeight="1" x14ac:dyDescent="0.35">
      <c r="B1008" s="9"/>
      <c r="C1008" s="9"/>
      <c r="D1008" s="9"/>
      <c r="E1008" s="9"/>
      <c r="F1008" s="12"/>
      <c r="G1008" s="12"/>
      <c r="H1008" s="12"/>
      <c r="I1008" s="12"/>
      <c r="J1008" s="12"/>
      <c r="K1008" s="12"/>
      <c r="L1008" s="1"/>
    </row>
    <row r="1009" spans="1:16" ht="15.75" customHeight="1" x14ac:dyDescent="0.35">
      <c r="B1009" s="13"/>
      <c r="C1009" s="13"/>
      <c r="D1009" s="13"/>
      <c r="E1009" s="13"/>
      <c r="F1009" s="13"/>
      <c r="G1009" s="13"/>
      <c r="I1009" s="13"/>
    </row>
    <row r="1010" spans="1:16" x14ac:dyDescent="0.35">
      <c r="B1010" s="13" t="s">
        <v>5</v>
      </c>
      <c r="C1010" s="13" t="s">
        <v>1</v>
      </c>
      <c r="D1010" s="15" t="str">
        <f>VLOOKUP(A1011,Inventory!$A$4:$K$1139,7)</f>
        <v xml:space="preserve">Klatch                             </v>
      </c>
      <c r="F1010" s="13" t="s">
        <v>235</v>
      </c>
      <c r="G1010" s="16"/>
      <c r="L1010" s="17"/>
      <c r="M1010" s="17"/>
    </row>
    <row r="1011" spans="1:16" x14ac:dyDescent="0.35">
      <c r="A1011">
        <v>161</v>
      </c>
      <c r="B1011" s="5">
        <v>45038</v>
      </c>
      <c r="C1011" s="15" t="str">
        <f>VLOOKUP(A1011,Inventory!$A$4:$K$1139,2)</f>
        <v>Colombia Nariño Organic 2020</v>
      </c>
      <c r="E1011" s="11"/>
      <c r="F1011" s="34" t="s">
        <v>279</v>
      </c>
      <c r="G1011" s="2" t="s">
        <v>286</v>
      </c>
      <c r="L1011" s="17"/>
      <c r="M1011" s="17"/>
      <c r="P1011" s="8"/>
    </row>
    <row r="1012" spans="1:16" x14ac:dyDescent="0.35">
      <c r="D1012" s="11"/>
      <c r="E1012" s="11"/>
      <c r="G1012" s="16"/>
      <c r="L1012" s="19"/>
      <c r="M1012" s="19"/>
    </row>
    <row r="1013" spans="1:16" x14ac:dyDescent="0.35">
      <c r="B1013" s="20"/>
      <c r="C1013" s="11" t="s">
        <v>240</v>
      </c>
      <c r="D1013" s="11" t="s">
        <v>272</v>
      </c>
      <c r="E1013" s="11">
        <v>368</v>
      </c>
      <c r="F1013" s="11">
        <v>375</v>
      </c>
      <c r="G1013" s="11">
        <v>382</v>
      </c>
      <c r="H1013" s="11">
        <v>390</v>
      </c>
      <c r="I1013" s="11">
        <v>395</v>
      </c>
      <c r="J1013" s="28" t="s">
        <v>372</v>
      </c>
      <c r="K1013" s="11"/>
      <c r="L1013" s="11"/>
    </row>
    <row r="1014" spans="1:16" ht="15.75" customHeight="1" x14ac:dyDescent="0.35">
      <c r="B1014" s="20" t="s">
        <v>242</v>
      </c>
      <c r="C1014" s="21"/>
      <c r="D1014" s="22" t="s">
        <v>294</v>
      </c>
      <c r="E1014" s="23" t="s">
        <v>244</v>
      </c>
      <c r="F1014" s="23" t="s">
        <v>245</v>
      </c>
      <c r="G1014" s="23" t="s">
        <v>246</v>
      </c>
      <c r="H1014" s="23" t="s">
        <v>247</v>
      </c>
      <c r="I1014" s="23" t="s">
        <v>248</v>
      </c>
      <c r="O1014" s="4"/>
    </row>
    <row r="1015" spans="1:16" ht="1" customHeight="1" x14ac:dyDescent="0.35">
      <c r="B1015" s="24" t="s">
        <v>249</v>
      </c>
      <c r="C1015" s="25"/>
      <c r="D1015" s="25"/>
      <c r="E1015" s="25"/>
      <c r="F1015" s="25"/>
      <c r="G1015" s="25"/>
      <c r="H1015" s="25"/>
      <c r="I1015" s="25"/>
      <c r="O1015" t="e">
        <f>(O1013-3*O1012)/O1014</f>
        <v>#DIV/0!</v>
      </c>
    </row>
    <row r="1016" spans="1:16" ht="15.75" customHeight="1" x14ac:dyDescent="0.35">
      <c r="B1016" s="20" t="s">
        <v>250</v>
      </c>
      <c r="C1016" s="26">
        <v>0.21527777777777779</v>
      </c>
      <c r="D1016" s="26">
        <v>0.2986111111111111</v>
      </c>
      <c r="E1016" s="26">
        <v>0.375</v>
      </c>
      <c r="F1016" s="26">
        <f>E1016+'Lookup Tables'!$N$1</f>
        <v>0.39583333333333331</v>
      </c>
      <c r="G1016" s="26">
        <f>F1016+'Lookup Tables'!$N$1</f>
        <v>0.41666666666666663</v>
      </c>
      <c r="H1016" s="26">
        <f>G1016+'Lookup Tables'!$N$1</f>
        <v>0.43749999999999994</v>
      </c>
      <c r="I1016" s="26">
        <f>H1016+'Lookup Tables'!$S$1</f>
        <v>0.44791666666666663</v>
      </c>
      <c r="N1016">
        <f>MAX(F1013:M1013)-O1016</f>
        <v>27</v>
      </c>
      <c r="O1016" t="str">
        <f>RIGHT(E1013,3)</f>
        <v>368</v>
      </c>
    </row>
    <row r="1017" spans="1:16" ht="15.75" customHeight="1" x14ac:dyDescent="0.35">
      <c r="B1017" s="20" t="s">
        <v>251</v>
      </c>
      <c r="C1017" s="27">
        <v>0.2</v>
      </c>
      <c r="D1017" s="27">
        <v>0.5</v>
      </c>
      <c r="E1017" s="27"/>
      <c r="F1017" s="27"/>
      <c r="G1017" s="27"/>
      <c r="H1017" s="27"/>
      <c r="I1017" s="25"/>
      <c r="N1017" t="str">
        <f xml:space="preserve">  N1016 &amp; " degrees this time"</f>
        <v>27 degrees this time</v>
      </c>
    </row>
    <row r="1018" spans="1:16" ht="15.75" customHeight="1" x14ac:dyDescent="0.35">
      <c r="B1018" s="20" t="s">
        <v>252</v>
      </c>
      <c r="C1018" s="27">
        <v>0.9</v>
      </c>
      <c r="D1018" s="27">
        <v>0.8</v>
      </c>
      <c r="E1018" s="27">
        <v>0.7</v>
      </c>
      <c r="F1018" s="27">
        <v>0.6</v>
      </c>
      <c r="G1018" s="27">
        <v>0.5</v>
      </c>
      <c r="H1018" s="27"/>
      <c r="I1018" s="27" t="s">
        <v>275</v>
      </c>
    </row>
    <row r="1019" spans="1:16" ht="15.75" customHeight="1" x14ac:dyDescent="0.35">
      <c r="B1019" s="20"/>
      <c r="D1019" s="11"/>
      <c r="E1019" s="11"/>
      <c r="F1019" s="11"/>
      <c r="G1019" s="40"/>
      <c r="H1019" s="35"/>
    </row>
    <row r="1020" spans="1:16" ht="15.75" customHeight="1" x14ac:dyDescent="0.35">
      <c r="B1020" s="20"/>
      <c r="G1020" s="1" t="s">
        <v>331</v>
      </c>
      <c r="K1020" s="32" t="s">
        <v>332</v>
      </c>
      <c r="L1020" s="9"/>
      <c r="M1020" s="9"/>
    </row>
    <row r="1021" spans="1:16" ht="15.75" customHeight="1" x14ac:dyDescent="0.35">
      <c r="B1021" s="30"/>
      <c r="G1021" s="1"/>
      <c r="H1021" s="1"/>
      <c r="K1021" s="32"/>
      <c r="L1021" s="9"/>
      <c r="M1021" s="9"/>
    </row>
    <row r="1022" spans="1:16" ht="15.75" customHeight="1" x14ac:dyDescent="0.35">
      <c r="B1022" s="30"/>
      <c r="G1022" s="1"/>
      <c r="H1022" s="1"/>
      <c r="K1022" s="9" t="s">
        <v>300</v>
      </c>
      <c r="L1022" s="9"/>
      <c r="M1022" s="9"/>
    </row>
    <row r="1023" spans="1:16" ht="15.75" customHeight="1" x14ac:dyDescent="0.35">
      <c r="B1023" s="9"/>
      <c r="C1023" s="9"/>
      <c r="D1023" s="9"/>
      <c r="E1023" s="9"/>
      <c r="F1023" s="12"/>
      <c r="G1023" s="12"/>
      <c r="H1023" s="12"/>
      <c r="I1023" s="12"/>
      <c r="J1023" s="12"/>
      <c r="K1023" s="12"/>
      <c r="L1023" s="1"/>
    </row>
    <row r="1024" spans="1:16" ht="15.75" customHeight="1" x14ac:dyDescent="0.35">
      <c r="B1024" s="13"/>
      <c r="C1024" s="13"/>
      <c r="D1024" s="15"/>
      <c r="G1024" s="13"/>
      <c r="H1024" s="14" t="s">
        <v>255</v>
      </c>
      <c r="I1024" s="13"/>
      <c r="J1024" s="1"/>
    </row>
    <row r="1025" spans="1:16" x14ac:dyDescent="0.35">
      <c r="B1025" s="13" t="s">
        <v>5</v>
      </c>
      <c r="C1025" s="13" t="s">
        <v>1</v>
      </c>
      <c r="D1025" s="15" t="str">
        <f>VLOOKUP(A1026,Inventory!$A$4:$K$1139,7)</f>
        <v xml:space="preserve">Klatch                             </v>
      </c>
      <c r="F1025" s="13" t="s">
        <v>235</v>
      </c>
      <c r="G1025" s="16"/>
      <c r="L1025" s="17"/>
      <c r="M1025" s="17"/>
    </row>
    <row r="1026" spans="1:16" x14ac:dyDescent="0.35">
      <c r="A1026">
        <v>163</v>
      </c>
      <c r="B1026" s="5">
        <v>45038</v>
      </c>
      <c r="C1026" s="15" t="str">
        <f>VLOOKUP(A1026,Inventory!$A$4:$K$1139,2)</f>
        <v>Guatemala Antigua Hunapu Micro Lot 2020</v>
      </c>
      <c r="E1026" s="11"/>
      <c r="F1026" s="31" t="s">
        <v>354</v>
      </c>
      <c r="G1026" s="2" t="s">
        <v>286</v>
      </c>
      <c r="L1026" s="17"/>
      <c r="M1026" s="17"/>
      <c r="P1026" s="8"/>
    </row>
    <row r="1027" spans="1:16" x14ac:dyDescent="0.35">
      <c r="B1027" s="13"/>
      <c r="C1027" s="13"/>
      <c r="D1027" s="11"/>
      <c r="F1027" s="13"/>
      <c r="G1027" s="16"/>
      <c r="I1027" s="1"/>
      <c r="L1027" s="19"/>
      <c r="M1027" s="19"/>
    </row>
    <row r="1028" spans="1:16" x14ac:dyDescent="0.35">
      <c r="B1028" s="20"/>
      <c r="C1028" s="11" t="s">
        <v>240</v>
      </c>
      <c r="D1028" s="11" t="s">
        <v>241</v>
      </c>
      <c r="E1028" s="11">
        <v>360</v>
      </c>
      <c r="F1028" s="11">
        <v>365</v>
      </c>
      <c r="G1028" s="11">
        <v>367</v>
      </c>
      <c r="H1028" s="11">
        <v>374</v>
      </c>
      <c r="I1028" s="11">
        <v>379</v>
      </c>
      <c r="J1028" s="11">
        <v>383</v>
      </c>
      <c r="K1028" s="11"/>
      <c r="L1028" s="11"/>
    </row>
    <row r="1029" spans="1:16" ht="15.75" customHeight="1" x14ac:dyDescent="0.35">
      <c r="B1029" s="20" t="s">
        <v>242</v>
      </c>
      <c r="C1029" s="30"/>
      <c r="D1029" s="30"/>
      <c r="E1029" s="23" t="s">
        <v>244</v>
      </c>
      <c r="F1029" s="23" t="s">
        <v>245</v>
      </c>
      <c r="G1029" s="23" t="s">
        <v>246</v>
      </c>
      <c r="H1029" s="23" t="s">
        <v>247</v>
      </c>
      <c r="I1029" s="23" t="s">
        <v>259</v>
      </c>
      <c r="J1029" s="23" t="s">
        <v>260</v>
      </c>
      <c r="O1029" s="4"/>
    </row>
    <row r="1030" spans="1:16" ht="1" customHeight="1" x14ac:dyDescent="0.35">
      <c r="B1030" s="24" t="s">
        <v>249</v>
      </c>
      <c r="C1030" s="25"/>
      <c r="D1030" s="25"/>
      <c r="E1030" s="25"/>
      <c r="F1030" s="25"/>
      <c r="G1030" s="25"/>
      <c r="H1030" s="25"/>
      <c r="I1030" s="25"/>
      <c r="J1030" s="25"/>
      <c r="O1030" t="e">
        <f>(O1028-3*O1027)/O1029</f>
        <v>#DIV/0!</v>
      </c>
    </row>
    <row r="1031" spans="1:16" ht="15.75" customHeight="1" x14ac:dyDescent="0.35">
      <c r="B1031" s="20" t="s">
        <v>250</v>
      </c>
      <c r="C1031" s="26">
        <v>0.19791666666666666</v>
      </c>
      <c r="D1031" s="26">
        <v>0.27083333333333331</v>
      </c>
      <c r="E1031" s="26">
        <v>0.35416666666666669</v>
      </c>
      <c r="F1031" s="26">
        <f>E1031+'Lookup Tables'!$N$1</f>
        <v>0.375</v>
      </c>
      <c r="G1031" s="26">
        <f>F1031+'Lookup Tables'!$N$1</f>
        <v>0.39583333333333331</v>
      </c>
      <c r="H1031" s="26">
        <f>G1031+'Lookup Tables'!$N$1</f>
        <v>0.41666666666666663</v>
      </c>
      <c r="I1031" s="26">
        <f>H1031+'Lookup Tables'!$N$1</f>
        <v>0.43749999999999994</v>
      </c>
      <c r="J1031" s="26">
        <f>I1031+'Lookup Tables'!$S$1</f>
        <v>0.44791666666666663</v>
      </c>
      <c r="N1031">
        <f>MAX(F1028:M1028)-O1031</f>
        <v>23</v>
      </c>
      <c r="O1031" t="str">
        <f>RIGHT(E1028,3)</f>
        <v>360</v>
      </c>
    </row>
    <row r="1032" spans="1:16" ht="15.75" customHeight="1" x14ac:dyDescent="0.35">
      <c r="B1032" s="20" t="s">
        <v>251</v>
      </c>
      <c r="C1032" s="27">
        <v>0.2</v>
      </c>
      <c r="D1032" s="27">
        <v>0.5</v>
      </c>
      <c r="E1032" s="27"/>
      <c r="F1032" s="27"/>
      <c r="G1032" s="27"/>
      <c r="H1032" s="27"/>
      <c r="I1032" s="25"/>
      <c r="J1032" s="27"/>
      <c r="N1032" t="str">
        <f xml:space="preserve">  N1031 &amp; " degrees this time"</f>
        <v>23 degrees this time</v>
      </c>
    </row>
    <row r="1033" spans="1:16" ht="15.75" customHeight="1" x14ac:dyDescent="0.35">
      <c r="B1033" s="20" t="s">
        <v>252</v>
      </c>
      <c r="C1033" s="27">
        <v>0.9</v>
      </c>
      <c r="D1033" s="27">
        <v>0.7</v>
      </c>
      <c r="E1033" s="27"/>
      <c r="F1033" s="27"/>
      <c r="G1033" s="27">
        <v>0.6</v>
      </c>
      <c r="H1033" s="27">
        <v>0.4</v>
      </c>
      <c r="I1033" s="27" t="s">
        <v>275</v>
      </c>
      <c r="J1033" s="27" t="s">
        <v>275</v>
      </c>
    </row>
    <row r="1034" spans="1:16" ht="15.75" customHeight="1" x14ac:dyDescent="0.35">
      <c r="B1034" s="20"/>
      <c r="D1034" s="37"/>
      <c r="E1034" s="11"/>
      <c r="F1034" s="11"/>
      <c r="G1034" s="40"/>
      <c r="H1034" s="11"/>
      <c r="I1034" s="11"/>
      <c r="J1034" s="37"/>
      <c r="K1034" s="32" t="s">
        <v>306</v>
      </c>
      <c r="L1034" s="9"/>
      <c r="M1034" s="9"/>
    </row>
    <row r="1035" spans="1:16" ht="15.75" customHeight="1" x14ac:dyDescent="0.35">
      <c r="G1035" s="1" t="s">
        <v>307</v>
      </c>
      <c r="H1035" s="1"/>
      <c r="K1035" s="32"/>
      <c r="L1035" s="9"/>
      <c r="M1035" s="9"/>
    </row>
    <row r="1036" spans="1:16" ht="15.75" customHeight="1" x14ac:dyDescent="0.35">
      <c r="B1036" s="20"/>
      <c r="G1036" s="1"/>
      <c r="H1036" s="1"/>
      <c r="K1036" s="32" t="s">
        <v>309</v>
      </c>
      <c r="L1036" s="9"/>
      <c r="M1036" s="9"/>
    </row>
    <row r="1037" spans="1:16" ht="15.75" customHeight="1" x14ac:dyDescent="0.35">
      <c r="B1037" s="20"/>
      <c r="G1037" s="1"/>
      <c r="H1037" s="1"/>
      <c r="K1037" s="9" t="s">
        <v>300</v>
      </c>
      <c r="L1037" s="9"/>
      <c r="M1037" s="9"/>
    </row>
    <row r="1038" spans="1:16" ht="15.75" customHeight="1" x14ac:dyDescent="0.35">
      <c r="B1038" s="9"/>
      <c r="C1038" s="9"/>
      <c r="D1038" s="9"/>
      <c r="E1038" s="9"/>
      <c r="F1038" s="12"/>
      <c r="G1038" s="12"/>
      <c r="H1038" s="12"/>
      <c r="I1038" s="12"/>
      <c r="J1038" s="12"/>
      <c r="K1038" s="12"/>
      <c r="L1038" s="1"/>
    </row>
    <row r="1039" spans="1:16" ht="15.75" customHeight="1" x14ac:dyDescent="0.35">
      <c r="B1039" s="13"/>
      <c r="C1039" s="13"/>
      <c r="D1039" s="15"/>
    </row>
    <row r="1040" spans="1:16" x14ac:dyDescent="0.35">
      <c r="B1040" s="13" t="s">
        <v>5</v>
      </c>
      <c r="C1040" s="13" t="s">
        <v>1</v>
      </c>
      <c r="D1040" s="15" t="str">
        <f>VLOOKUP(A1041,Inventory!$A$4:$K$1139,7)</f>
        <v xml:space="preserve">GCBC                               </v>
      </c>
      <c r="F1040" s="13" t="s">
        <v>235</v>
      </c>
      <c r="G1040" s="16"/>
      <c r="L1040" s="17"/>
      <c r="M1040" s="17"/>
    </row>
    <row r="1041" spans="1:16" x14ac:dyDescent="0.35">
      <c r="A1041">
        <v>160</v>
      </c>
      <c r="B1041" s="5">
        <v>45038</v>
      </c>
      <c r="C1041" s="15" t="str">
        <f>VLOOKUP(A1041,Inventory!$A$4:$K$1139,2)</f>
        <v>Sumatra Mandheling Takengon 2020</v>
      </c>
      <c r="E1041" s="11"/>
      <c r="F1041" s="34" t="s">
        <v>279</v>
      </c>
      <c r="G1041" s="2" t="s">
        <v>270</v>
      </c>
      <c r="J1041" s="8"/>
      <c r="L1041" s="17"/>
      <c r="M1041" s="17"/>
      <c r="P1041" s="8"/>
    </row>
    <row r="1042" spans="1:16" x14ac:dyDescent="0.35">
      <c r="B1042" s="13"/>
      <c r="C1042" s="13"/>
      <c r="D1042" s="11"/>
      <c r="F1042" s="13"/>
      <c r="G1042" s="16"/>
      <c r="K1042" s="1"/>
      <c r="L1042" s="19"/>
      <c r="M1042" s="19"/>
    </row>
    <row r="1043" spans="1:16" x14ac:dyDescent="0.35">
      <c r="B1043" s="20"/>
      <c r="C1043" s="11" t="s">
        <v>240</v>
      </c>
      <c r="D1043" s="11" t="s">
        <v>301</v>
      </c>
      <c r="E1043" s="11">
        <v>372</v>
      </c>
      <c r="F1043" s="11">
        <v>379</v>
      </c>
      <c r="G1043" s="11">
        <v>385</v>
      </c>
      <c r="H1043" s="11">
        <v>391</v>
      </c>
      <c r="I1043" s="11">
        <v>396</v>
      </c>
      <c r="J1043" s="11" t="s">
        <v>373</v>
      </c>
      <c r="K1043" s="11"/>
      <c r="L1043" s="11"/>
    </row>
    <row r="1044" spans="1:16" ht="15.75" customHeight="1" x14ac:dyDescent="0.35">
      <c r="B1044" s="20" t="s">
        <v>242</v>
      </c>
      <c r="C1044" s="21"/>
      <c r="D1044" s="22" t="s">
        <v>302</v>
      </c>
      <c r="E1044" s="23" t="s">
        <v>244</v>
      </c>
      <c r="F1044" s="23" t="s">
        <v>245</v>
      </c>
      <c r="G1044" s="23" t="s">
        <v>246</v>
      </c>
      <c r="H1044" s="23" t="s">
        <v>247</v>
      </c>
      <c r="I1044" s="23" t="s">
        <v>259</v>
      </c>
      <c r="O1044" s="4"/>
    </row>
    <row r="1045" spans="1:16" ht="1" customHeight="1" x14ac:dyDescent="0.35">
      <c r="B1045" s="24" t="s">
        <v>249</v>
      </c>
      <c r="C1045" s="25"/>
      <c r="D1045" s="25"/>
      <c r="E1045" s="25"/>
      <c r="F1045" s="25"/>
      <c r="G1045" s="25"/>
      <c r="H1045" s="25"/>
      <c r="I1045" s="25"/>
      <c r="O1045" t="e">
        <f>(O1043-3*O1042)/O1044</f>
        <v>#DIV/0!</v>
      </c>
    </row>
    <row r="1046" spans="1:16" ht="15.75" customHeight="1" x14ac:dyDescent="0.35">
      <c r="B1046" s="20" t="s">
        <v>250</v>
      </c>
      <c r="C1046" s="26">
        <v>0.23611111111111113</v>
      </c>
      <c r="D1046" s="26">
        <v>0.33333333333333331</v>
      </c>
      <c r="E1046" s="26">
        <v>0.41666666666666669</v>
      </c>
      <c r="F1046" s="26">
        <f>E1046+'Lookup Tables'!$N$1</f>
        <v>0.4375</v>
      </c>
      <c r="G1046" s="26">
        <f>F1046+'Lookup Tables'!$N$1</f>
        <v>0.45833333333333331</v>
      </c>
      <c r="H1046" s="26">
        <f>G1046+'Lookup Tables'!$N$1</f>
        <v>0.47916666666666663</v>
      </c>
      <c r="I1046" s="26">
        <f>H1046+'Lookup Tables'!$N$1</f>
        <v>0.49999999999999994</v>
      </c>
      <c r="N1046">
        <f>MAX(F1043:M1043)-O1046</f>
        <v>24</v>
      </c>
      <c r="O1046" t="str">
        <f>RIGHT(E1043,3)</f>
        <v>372</v>
      </c>
    </row>
    <row r="1047" spans="1:16" ht="15.75" customHeight="1" x14ac:dyDescent="0.35">
      <c r="B1047" s="20" t="s">
        <v>251</v>
      </c>
      <c r="C1047" s="27">
        <v>0.2</v>
      </c>
      <c r="D1047" s="27">
        <v>0.5</v>
      </c>
      <c r="E1047" s="27"/>
      <c r="F1047" s="27"/>
      <c r="G1047" s="27"/>
      <c r="H1047" s="27"/>
      <c r="I1047" s="27"/>
      <c r="N1047" t="str">
        <f xml:space="preserve">  N1046 &amp; " degrees this time"</f>
        <v>24 degrees this time</v>
      </c>
    </row>
    <row r="1048" spans="1:16" ht="15.75" customHeight="1" x14ac:dyDescent="0.35">
      <c r="B1048" s="20" t="s">
        <v>252</v>
      </c>
      <c r="C1048" s="27">
        <v>0.9</v>
      </c>
      <c r="D1048" s="27">
        <v>0.7</v>
      </c>
      <c r="E1048" s="27">
        <v>0.4</v>
      </c>
      <c r="F1048" s="27" t="s">
        <v>274</v>
      </c>
      <c r="G1048" s="27"/>
      <c r="H1048" s="27"/>
      <c r="I1048" s="27"/>
    </row>
    <row r="1049" spans="1:16" ht="15.75" customHeight="1" x14ac:dyDescent="0.35">
      <c r="B1049" s="20"/>
      <c r="D1049" s="11"/>
      <c r="E1049" s="11"/>
      <c r="F1049" s="11"/>
      <c r="G1049" s="11"/>
      <c r="H1049" s="11"/>
      <c r="I1049" s="11"/>
      <c r="J1049" s="37"/>
      <c r="K1049" s="37"/>
      <c r="L1049" s="35"/>
    </row>
    <row r="1050" spans="1:16" ht="15.75" customHeight="1" x14ac:dyDescent="0.35">
      <c r="B1050" s="38"/>
      <c r="E1050" s="11"/>
      <c r="G1050" s="1" t="s">
        <v>303</v>
      </c>
      <c r="H1050" s="1"/>
      <c r="K1050" s="32"/>
      <c r="L1050" s="9"/>
      <c r="M1050" s="9"/>
    </row>
    <row r="1051" spans="1:16" ht="15.75" customHeight="1" x14ac:dyDescent="0.35">
      <c r="B1051" s="20"/>
      <c r="G1051" s="1"/>
      <c r="H1051" s="1"/>
      <c r="K1051" s="32"/>
      <c r="L1051" s="9"/>
      <c r="M1051" s="9"/>
    </row>
    <row r="1052" spans="1:16" ht="15.75" customHeight="1" x14ac:dyDescent="0.35">
      <c r="B1052" s="20"/>
      <c r="G1052" s="1"/>
      <c r="H1052" s="1"/>
      <c r="K1052" s="9" t="s">
        <v>300</v>
      </c>
      <c r="L1052" s="9"/>
      <c r="M1052" s="9"/>
    </row>
    <row r="1053" spans="1:16" ht="15.75" customHeight="1" x14ac:dyDescent="0.35">
      <c r="B1053" s="9"/>
      <c r="C1053" s="9"/>
      <c r="D1053" s="9"/>
      <c r="E1053" s="9"/>
      <c r="F1053" s="12"/>
      <c r="G1053" s="12"/>
      <c r="H1053" s="12"/>
      <c r="I1053" s="12"/>
      <c r="J1053" s="12"/>
      <c r="K1053" s="12"/>
      <c r="L1053" s="1"/>
    </row>
    <row r="1054" spans="1:16" ht="15.75" customHeight="1" x14ac:dyDescent="0.35">
      <c r="B1054" s="13"/>
      <c r="C1054" s="13"/>
      <c r="D1054" s="13"/>
      <c r="E1054" s="13"/>
      <c r="F1054" s="33" t="s">
        <v>350</v>
      </c>
      <c r="G1054" s="13"/>
      <c r="I1054" s="14"/>
    </row>
    <row r="1055" spans="1:16" x14ac:dyDescent="0.35">
      <c r="B1055" s="13" t="s">
        <v>5</v>
      </c>
      <c r="C1055" s="13" t="s">
        <v>1</v>
      </c>
      <c r="D1055" s="15" t="str">
        <f>VLOOKUP(A1056,Inventory!$A$4:$K$1139,7)</f>
        <v>Burman Coffee</v>
      </c>
      <c r="F1055" s="13" t="s">
        <v>235</v>
      </c>
      <c r="G1055" s="16"/>
      <c r="L1055" s="17"/>
      <c r="M1055" s="17"/>
    </row>
    <row r="1056" spans="1:16" x14ac:dyDescent="0.35">
      <c r="A1056">
        <v>164</v>
      </c>
      <c r="B1056" s="5">
        <v>45022</v>
      </c>
      <c r="C1056" s="15" t="str">
        <f>VLOOKUP(A1056,Inventory!$A$4:$K$1139,2)</f>
        <v>Indian Monsooned Malabar 2020</v>
      </c>
      <c r="F1056" s="18" t="s">
        <v>291</v>
      </c>
      <c r="G1056" s="2" t="s">
        <v>238</v>
      </c>
      <c r="L1056" s="17"/>
      <c r="M1056" s="17"/>
      <c r="P1056" s="8"/>
    </row>
    <row r="1057" spans="1:16" x14ac:dyDescent="0.35">
      <c r="I1057" s="9" t="s">
        <v>258</v>
      </c>
      <c r="L1057" s="19"/>
      <c r="M1057" s="19"/>
    </row>
    <row r="1058" spans="1:16" x14ac:dyDescent="0.35">
      <c r="B1058" s="20"/>
      <c r="C1058" s="11" t="s">
        <v>240</v>
      </c>
      <c r="D1058" s="11" t="s">
        <v>301</v>
      </c>
      <c r="E1058" s="11">
        <v>387</v>
      </c>
      <c r="F1058" s="11">
        <v>394</v>
      </c>
      <c r="G1058" s="11">
        <v>399</v>
      </c>
      <c r="H1058" s="11">
        <v>404</v>
      </c>
      <c r="I1058" s="11">
        <v>408</v>
      </c>
      <c r="J1058" s="11">
        <v>410</v>
      </c>
      <c r="K1058" s="11">
        <v>412</v>
      </c>
      <c r="L1058" t="s">
        <v>374</v>
      </c>
    </row>
    <row r="1059" spans="1:16" ht="15.75" customHeight="1" x14ac:dyDescent="0.35">
      <c r="B1059" s="20" t="s">
        <v>242</v>
      </c>
      <c r="C1059" s="30"/>
      <c r="D1059" s="30"/>
      <c r="E1059" s="23" t="s">
        <v>244</v>
      </c>
      <c r="F1059" s="23" t="s">
        <v>245</v>
      </c>
      <c r="G1059" s="23" t="s">
        <v>246</v>
      </c>
      <c r="H1059" s="23" t="s">
        <v>247</v>
      </c>
      <c r="I1059" s="23" t="s">
        <v>259</v>
      </c>
      <c r="J1059" s="23" t="s">
        <v>260</v>
      </c>
      <c r="K1059" s="23" t="s">
        <v>261</v>
      </c>
      <c r="O1059" s="4"/>
    </row>
    <row r="1060" spans="1:16" ht="1" customHeight="1" x14ac:dyDescent="0.35">
      <c r="B1060" s="24" t="s">
        <v>249</v>
      </c>
      <c r="C1060" s="25">
        <v>332</v>
      </c>
      <c r="D1060" s="25">
        <v>370</v>
      </c>
      <c r="E1060" s="25">
        <v>393</v>
      </c>
      <c r="F1060" s="25">
        <v>399</v>
      </c>
      <c r="G1060" s="25">
        <v>404</v>
      </c>
      <c r="H1060" s="25">
        <v>410</v>
      </c>
      <c r="I1060" s="25"/>
      <c r="J1060" s="25"/>
      <c r="K1060" s="25"/>
      <c r="O1060" t="e">
        <f>(O1058-3*O1057)/O1059</f>
        <v>#DIV/0!</v>
      </c>
    </row>
    <row r="1061" spans="1:16" ht="15.75" customHeight="1" x14ac:dyDescent="0.35">
      <c r="B1061" s="20" t="s">
        <v>250</v>
      </c>
      <c r="C1061" s="26">
        <v>0.23611111111111113</v>
      </c>
      <c r="D1061" s="26">
        <v>0.33333333333333331</v>
      </c>
      <c r="E1061" s="26">
        <v>0.4513888888888889</v>
      </c>
      <c r="F1061" s="26">
        <f>E1061+'Lookup Tables'!$N$1</f>
        <v>0.47222222222222221</v>
      </c>
      <c r="G1061" s="26">
        <f>F1061+'Lookup Tables'!$N$1</f>
        <v>0.49305555555555552</v>
      </c>
      <c r="H1061" s="26">
        <f>G1061+'Lookup Tables'!$N$1</f>
        <v>0.51388888888888884</v>
      </c>
      <c r="I1061" s="26">
        <f>H1061+'Lookup Tables'!$N$1</f>
        <v>0.53472222222222221</v>
      </c>
      <c r="J1061" s="26">
        <f>I1061+'Lookup Tables'!$S$1</f>
        <v>0.54513888888888884</v>
      </c>
      <c r="K1061" s="26">
        <f>J1061+'Lookup Tables'!$S$1</f>
        <v>0.55555555555555547</v>
      </c>
      <c r="N1061">
        <f>MAX(F1058:M1058)-O1061</f>
        <v>25</v>
      </c>
      <c r="O1061" t="str">
        <f>RIGHT(E1058,3)</f>
        <v>387</v>
      </c>
    </row>
    <row r="1062" spans="1:16" ht="15.75" customHeight="1" x14ac:dyDescent="0.35">
      <c r="B1062" s="20" t="s">
        <v>251</v>
      </c>
      <c r="C1062" s="27">
        <v>0.2</v>
      </c>
      <c r="D1062" s="27">
        <v>0.5</v>
      </c>
      <c r="E1062" s="25"/>
      <c r="F1062" s="25"/>
      <c r="G1062" s="27" t="s">
        <v>274</v>
      </c>
      <c r="H1062" s="27"/>
      <c r="I1062" s="27"/>
      <c r="J1062" s="27"/>
      <c r="K1062" s="27"/>
      <c r="N1062" t="str">
        <f xml:space="preserve">  N1061 &amp; " degrees this time"</f>
        <v>25 degrees this time</v>
      </c>
    </row>
    <row r="1063" spans="1:16" ht="15.75" customHeight="1" x14ac:dyDescent="0.35">
      <c r="B1063" s="20" t="s">
        <v>252</v>
      </c>
      <c r="C1063" s="27">
        <v>0.9</v>
      </c>
      <c r="D1063" s="27">
        <v>0.5</v>
      </c>
      <c r="E1063" s="27">
        <v>0.3</v>
      </c>
      <c r="F1063" s="27"/>
      <c r="G1063" s="27" t="s">
        <v>274</v>
      </c>
      <c r="H1063" s="27"/>
      <c r="I1063" s="27"/>
      <c r="J1063" s="27" t="s">
        <v>275</v>
      </c>
      <c r="K1063" s="27" t="s">
        <v>275</v>
      </c>
    </row>
    <row r="1064" spans="1:16" ht="15.75" customHeight="1" x14ac:dyDescent="0.35">
      <c r="B1064" s="20"/>
      <c r="D1064" s="11"/>
      <c r="E1064" s="11"/>
      <c r="F1064" s="11"/>
      <c r="G1064" s="11"/>
      <c r="H1064" s="13"/>
    </row>
    <row r="1065" spans="1:16" ht="15.75" customHeight="1" x14ac:dyDescent="0.35">
      <c r="G1065" s="1" t="s">
        <v>347</v>
      </c>
      <c r="K1065" s="9"/>
      <c r="L1065" s="9"/>
      <c r="M1065" s="9"/>
    </row>
    <row r="1066" spans="1:16" ht="15.75" customHeight="1" x14ac:dyDescent="0.35">
      <c r="B1066" s="20"/>
      <c r="G1066" s="1"/>
      <c r="H1066" s="1"/>
      <c r="K1066" s="9"/>
      <c r="L1066" s="9"/>
      <c r="M1066" s="9"/>
    </row>
    <row r="1067" spans="1:16" ht="15.75" customHeight="1" x14ac:dyDescent="0.35">
      <c r="B1067" s="20"/>
      <c r="G1067" s="1"/>
      <c r="H1067" s="1"/>
      <c r="K1067" s="9" t="s">
        <v>254</v>
      </c>
      <c r="L1067" s="9"/>
      <c r="M1067" s="9"/>
    </row>
    <row r="1068" spans="1:16" ht="15.75" customHeight="1" x14ac:dyDescent="0.35">
      <c r="B1068" s="9"/>
      <c r="C1068" s="9"/>
      <c r="D1068" s="9"/>
      <c r="E1068" s="9"/>
      <c r="F1068" s="12"/>
      <c r="G1068" s="12"/>
      <c r="H1068" s="12"/>
      <c r="I1068" s="12"/>
      <c r="J1068" s="12"/>
      <c r="K1068" s="12"/>
      <c r="L1068" s="1"/>
    </row>
    <row r="1069" spans="1:16" ht="15.75" customHeight="1" x14ac:dyDescent="0.35">
      <c r="B1069" s="13"/>
      <c r="C1069" s="13"/>
      <c r="D1069" s="15"/>
      <c r="E1069" s="15"/>
      <c r="F1069" s="33" t="s">
        <v>298</v>
      </c>
      <c r="G1069" s="16"/>
      <c r="H1069" s="14" t="s">
        <v>255</v>
      </c>
      <c r="I1069" s="14"/>
    </row>
    <row r="1070" spans="1:16" x14ac:dyDescent="0.35">
      <c r="B1070" s="13" t="s">
        <v>5</v>
      </c>
      <c r="C1070" s="13" t="s">
        <v>1</v>
      </c>
      <c r="D1070" s="15" t="str">
        <f>VLOOKUP(A1071,Inventory!$A$4:$K$1139,7)</f>
        <v xml:space="preserve">Sweet Marias                       </v>
      </c>
      <c r="F1070" s="13" t="s">
        <v>235</v>
      </c>
      <c r="G1070" s="16"/>
      <c r="H1070" s="14" t="s">
        <v>236</v>
      </c>
      <c r="L1070" s="17"/>
      <c r="M1070" s="17"/>
    </row>
    <row r="1071" spans="1:16" x14ac:dyDescent="0.35">
      <c r="A1071">
        <v>169</v>
      </c>
      <c r="B1071" s="5">
        <v>45022</v>
      </c>
      <c r="C1071" s="15" t="str">
        <f>VLOOKUP(A1071,Inventory!$A$4:$K$1139,2)</f>
        <v>Yemen Mokha Matari 2021</v>
      </c>
      <c r="F1071" s="31" t="s">
        <v>291</v>
      </c>
      <c r="G1071" s="2" t="s">
        <v>286</v>
      </c>
      <c r="L1071" s="17"/>
      <c r="M1071" s="17"/>
      <c r="P1071" s="8"/>
    </row>
    <row r="1072" spans="1:16" x14ac:dyDescent="0.35">
      <c r="B1072" t="s">
        <v>16</v>
      </c>
      <c r="G1072" s="16"/>
      <c r="L1072" s="19"/>
      <c r="M1072" s="19"/>
    </row>
    <row r="1073" spans="1:16" x14ac:dyDescent="0.35">
      <c r="B1073" s="20"/>
      <c r="C1073" s="11" t="s">
        <v>240</v>
      </c>
      <c r="D1073" s="11" t="s">
        <v>272</v>
      </c>
      <c r="E1073" s="11">
        <v>373</v>
      </c>
      <c r="F1073" s="11">
        <v>380</v>
      </c>
      <c r="G1073" s="11">
        <v>388</v>
      </c>
      <c r="H1073" s="11">
        <v>392</v>
      </c>
      <c r="I1073" s="11">
        <v>395</v>
      </c>
      <c r="J1073" s="11" t="s">
        <v>313</v>
      </c>
      <c r="K1073" s="11"/>
      <c r="L1073" s="28"/>
    </row>
    <row r="1074" spans="1:16" ht="15.75" customHeight="1" x14ac:dyDescent="0.35">
      <c r="B1074" s="20" t="s">
        <v>242</v>
      </c>
      <c r="C1074" s="21"/>
      <c r="D1074" s="22" t="s">
        <v>294</v>
      </c>
      <c r="E1074" s="23" t="s">
        <v>244</v>
      </c>
      <c r="F1074" s="23" t="s">
        <v>245</v>
      </c>
      <c r="G1074" s="23" t="s">
        <v>246</v>
      </c>
      <c r="H1074" s="23" t="s">
        <v>273</v>
      </c>
      <c r="I1074" s="23" t="s">
        <v>247</v>
      </c>
      <c r="O1074" s="4"/>
    </row>
    <row r="1075" spans="1:16" ht="1" customHeight="1" x14ac:dyDescent="0.35">
      <c r="B1075" s="24" t="s">
        <v>249</v>
      </c>
      <c r="C1075" s="25">
        <v>320</v>
      </c>
      <c r="D1075" s="25">
        <v>350</v>
      </c>
      <c r="E1075" s="25"/>
      <c r="F1075" s="25"/>
      <c r="G1075" s="25"/>
      <c r="H1075" s="23" t="s">
        <v>247</v>
      </c>
      <c r="I1075" s="25"/>
      <c r="O1075" t="e">
        <f>(O1073-3*O1072)/O1074</f>
        <v>#DIV/0!</v>
      </c>
    </row>
    <row r="1076" spans="1:16" ht="15.75" customHeight="1" x14ac:dyDescent="0.35">
      <c r="B1076" s="20" t="s">
        <v>250</v>
      </c>
      <c r="C1076" s="26">
        <v>0.21180555555555555</v>
      </c>
      <c r="D1076" s="26">
        <v>0.30902777777777779</v>
      </c>
      <c r="E1076" s="26">
        <v>0.40277777777777773</v>
      </c>
      <c r="F1076" s="26">
        <f>E1076+'Lookup Tables'!$N$1</f>
        <v>0.42361111111111105</v>
      </c>
      <c r="G1076" s="26">
        <f>F1076+'Lookup Tables'!$N$1</f>
        <v>0.44444444444444436</v>
      </c>
      <c r="H1076" s="26">
        <f>G1076+'Lookup Tables'!$S$1</f>
        <v>0.45486111111111105</v>
      </c>
      <c r="I1076" s="26">
        <f>H1076+'Lookup Tables'!$S$1</f>
        <v>0.46527777777777773</v>
      </c>
      <c r="J1076" s="11"/>
      <c r="K1076" s="11"/>
      <c r="N1076">
        <f>MAX(F1073:M1073)-O1076</f>
        <v>22</v>
      </c>
      <c r="O1076" t="str">
        <f>RIGHT(E1073,3)</f>
        <v>373</v>
      </c>
    </row>
    <row r="1077" spans="1:16" ht="15.75" customHeight="1" x14ac:dyDescent="0.35">
      <c r="B1077" s="20" t="s">
        <v>251</v>
      </c>
      <c r="C1077" s="27">
        <v>0.2</v>
      </c>
      <c r="D1077" s="27">
        <v>0.5</v>
      </c>
      <c r="E1077" s="27"/>
      <c r="F1077" s="27"/>
      <c r="G1077" s="27">
        <v>0.25</v>
      </c>
      <c r="H1077" s="27"/>
      <c r="I1077" s="27"/>
      <c r="N1077" t="str">
        <f xml:space="preserve">  N1076 &amp; " degrees this time"</f>
        <v>22 degrees this time</v>
      </c>
    </row>
    <row r="1078" spans="1:16" ht="15.75" customHeight="1" x14ac:dyDescent="0.35">
      <c r="B1078" s="20" t="s">
        <v>252</v>
      </c>
      <c r="C1078" s="27">
        <v>0.9</v>
      </c>
      <c r="D1078" s="27">
        <v>0.7</v>
      </c>
      <c r="E1078" s="27">
        <v>0.7</v>
      </c>
      <c r="F1078" s="27">
        <v>0.5</v>
      </c>
      <c r="G1078" s="27"/>
      <c r="H1078" s="27" t="s">
        <v>275</v>
      </c>
      <c r="I1078" s="27" t="s">
        <v>275</v>
      </c>
    </row>
    <row r="1079" spans="1:16" ht="15.75" customHeight="1" x14ac:dyDescent="0.35">
      <c r="B1079" s="20"/>
      <c r="D1079" s="11"/>
      <c r="E1079" s="40"/>
      <c r="F1079" s="11"/>
      <c r="G1079" s="11"/>
      <c r="K1079" s="32" t="s">
        <v>314</v>
      </c>
      <c r="L1079" s="9"/>
      <c r="M1079" s="9"/>
    </row>
    <row r="1080" spans="1:16" ht="15.75" customHeight="1" x14ac:dyDescent="0.35">
      <c r="B1080" s="38"/>
      <c r="D1080" s="15"/>
      <c r="F1080" s="13"/>
      <c r="G1080" s="1" t="s">
        <v>296</v>
      </c>
      <c r="K1080" s="32"/>
      <c r="L1080" s="9"/>
      <c r="M1080" s="9"/>
    </row>
    <row r="1081" spans="1:16" ht="15.75" customHeight="1" x14ac:dyDescent="0.35">
      <c r="B1081" s="20"/>
      <c r="G1081" s="1"/>
      <c r="H1081" s="1"/>
      <c r="K1081" s="9"/>
      <c r="L1081" s="9"/>
      <c r="M1081" s="9"/>
    </row>
    <row r="1082" spans="1:16" ht="15.75" customHeight="1" x14ac:dyDescent="0.35">
      <c r="B1082" s="20"/>
      <c r="G1082" s="1"/>
      <c r="H1082" s="1"/>
      <c r="K1082" s="9" t="s">
        <v>297</v>
      </c>
      <c r="L1082" s="9"/>
      <c r="M1082" s="9"/>
    </row>
    <row r="1083" spans="1:16" ht="15.75" customHeight="1" x14ac:dyDescent="0.35">
      <c r="B1083" s="9"/>
      <c r="C1083" s="9"/>
      <c r="D1083" s="9"/>
      <c r="E1083" s="9"/>
      <c r="F1083" s="12"/>
      <c r="G1083" s="12"/>
      <c r="H1083" s="12"/>
      <c r="I1083" s="12"/>
      <c r="J1083" s="12"/>
      <c r="K1083" s="12"/>
      <c r="L1083" s="1"/>
    </row>
    <row r="1084" spans="1:16" ht="15.75" customHeight="1" x14ac:dyDescent="0.35">
      <c r="B1084" s="13"/>
      <c r="C1084" s="13"/>
      <c r="D1084" s="13"/>
      <c r="E1084" s="13"/>
      <c r="G1084" s="13"/>
      <c r="H1084" s="14" t="s">
        <v>255</v>
      </c>
      <c r="I1084" s="13"/>
    </row>
    <row r="1085" spans="1:16" x14ac:dyDescent="0.35">
      <c r="B1085" s="13" t="s">
        <v>5</v>
      </c>
      <c r="C1085" s="13" t="s">
        <v>1</v>
      </c>
      <c r="D1085" s="15" t="str">
        <f>VLOOKUP(A1086,Inventory!$A$4:$K$1139,7)</f>
        <v xml:space="preserve">Klatch                             </v>
      </c>
      <c r="F1085" s="13" t="s">
        <v>235</v>
      </c>
      <c r="G1085" s="16"/>
      <c r="L1085" s="17"/>
      <c r="M1085" s="17"/>
    </row>
    <row r="1086" spans="1:16" x14ac:dyDescent="0.35">
      <c r="A1086">
        <v>166</v>
      </c>
      <c r="B1086" s="5">
        <v>45022</v>
      </c>
      <c r="C1086" s="15" t="str">
        <f>VLOOKUP(A1086,Inventory!$A$4:$K$1139,2)</f>
        <v>Panama Elida Natural 2020</v>
      </c>
      <c r="F1086" s="31" t="s">
        <v>291</v>
      </c>
      <c r="G1086" s="2" t="s">
        <v>270</v>
      </c>
      <c r="L1086" s="17"/>
      <c r="M1086" s="17"/>
      <c r="P1086" s="8"/>
    </row>
    <row r="1087" spans="1:16" x14ac:dyDescent="0.35">
      <c r="F1087" s="13"/>
      <c r="G1087" s="16"/>
      <c r="L1087" s="19"/>
      <c r="M1087" s="19"/>
    </row>
    <row r="1088" spans="1:16" x14ac:dyDescent="0.35">
      <c r="B1088" s="20"/>
      <c r="C1088" s="11" t="s">
        <v>240</v>
      </c>
      <c r="D1088" s="11" t="s">
        <v>272</v>
      </c>
      <c r="E1088" s="11">
        <v>366</v>
      </c>
      <c r="F1088" s="11">
        <v>373</v>
      </c>
      <c r="G1088" s="11">
        <v>383</v>
      </c>
      <c r="H1088" s="11" t="s">
        <v>310</v>
      </c>
      <c r="I1088" s="11"/>
      <c r="J1088" s="11"/>
      <c r="K1088" s="28"/>
      <c r="L1088" s="28"/>
    </row>
    <row r="1089" spans="1:16" ht="15.75" customHeight="1" x14ac:dyDescent="0.35">
      <c r="B1089" s="20" t="s">
        <v>242</v>
      </c>
      <c r="C1089" s="30"/>
      <c r="D1089" s="30"/>
      <c r="E1089" s="23" t="s">
        <v>244</v>
      </c>
      <c r="F1089" s="23" t="s">
        <v>245</v>
      </c>
      <c r="G1089" s="23" t="s">
        <v>246</v>
      </c>
      <c r="H1089" s="23" t="s">
        <v>273</v>
      </c>
      <c r="O1089" s="4"/>
    </row>
    <row r="1090" spans="1:16" ht="1" customHeight="1" x14ac:dyDescent="0.35">
      <c r="B1090" s="24" t="s">
        <v>249</v>
      </c>
      <c r="C1090" s="25"/>
      <c r="D1090" s="25"/>
      <c r="E1090" s="25"/>
      <c r="F1090" s="25"/>
      <c r="G1090" s="25"/>
      <c r="H1090" s="25"/>
      <c r="O1090" t="e">
        <f>(O1088-3*O1087)/O1089</f>
        <v>#DIV/0!</v>
      </c>
    </row>
    <row r="1091" spans="1:16" ht="15.75" customHeight="1" x14ac:dyDescent="0.35">
      <c r="B1091" s="20" t="s">
        <v>250</v>
      </c>
      <c r="C1091" s="26">
        <v>0.20833333333333334</v>
      </c>
      <c r="D1091" s="26">
        <v>0.2986111111111111</v>
      </c>
      <c r="E1091" s="26">
        <v>0.37152777777777773</v>
      </c>
      <c r="F1091" s="26">
        <f>E1091+'Lookup Tables'!$N$1</f>
        <v>0.39236111111111105</v>
      </c>
      <c r="G1091" s="26">
        <f>F1091+'Lookup Tables'!$N$1</f>
        <v>0.41319444444444436</v>
      </c>
      <c r="H1091" s="26">
        <f>G1091+'Lookup Tables'!$S$1</f>
        <v>0.42361111111111105</v>
      </c>
      <c r="N1091">
        <f>MAX(F1088:M1088)-O1091</f>
        <v>17</v>
      </c>
      <c r="O1091" t="str">
        <f>RIGHT(E1088,3)</f>
        <v>366</v>
      </c>
    </row>
    <row r="1092" spans="1:16" ht="15.75" customHeight="1" x14ac:dyDescent="0.35">
      <c r="B1092" s="20" t="s">
        <v>251</v>
      </c>
      <c r="C1092" s="27">
        <v>0.2</v>
      </c>
      <c r="D1092" s="27">
        <v>0.5</v>
      </c>
      <c r="E1092" s="27">
        <v>0.5</v>
      </c>
      <c r="F1092" s="27" t="s">
        <v>274</v>
      </c>
      <c r="G1092" s="27"/>
      <c r="H1092" s="25"/>
      <c r="N1092" t="str">
        <f xml:space="preserve">  N1091 &amp; " degrees this time"</f>
        <v>17 degrees this time</v>
      </c>
    </row>
    <row r="1093" spans="1:16" ht="15.75" customHeight="1" x14ac:dyDescent="0.35">
      <c r="B1093" s="20" t="s">
        <v>252</v>
      </c>
      <c r="C1093" s="27">
        <v>0.9</v>
      </c>
      <c r="D1093" s="27">
        <v>0.7</v>
      </c>
      <c r="E1093" s="27">
        <v>0.6</v>
      </c>
      <c r="F1093" s="27" t="s">
        <v>274</v>
      </c>
      <c r="G1093" s="27"/>
      <c r="H1093" s="27" t="s">
        <v>275</v>
      </c>
    </row>
    <row r="1094" spans="1:16" ht="15.75" customHeight="1" x14ac:dyDescent="0.35">
      <c r="B1094" s="20"/>
      <c r="D1094" s="11"/>
      <c r="E1094" s="11"/>
      <c r="F1094" s="11"/>
    </row>
    <row r="1095" spans="1:16" ht="15.75" customHeight="1" x14ac:dyDescent="0.35">
      <c r="B1095" s="20"/>
      <c r="C1095" s="30"/>
      <c r="D1095" s="11"/>
      <c r="E1095" s="11"/>
      <c r="F1095" s="11"/>
      <c r="G1095" s="1" t="s">
        <v>276</v>
      </c>
      <c r="K1095" s="32" t="s">
        <v>375</v>
      </c>
      <c r="L1095" s="9"/>
      <c r="M1095" s="9"/>
    </row>
    <row r="1096" spans="1:16" ht="15.75" customHeight="1" x14ac:dyDescent="0.35">
      <c r="B1096" s="20"/>
      <c r="G1096" s="1"/>
      <c r="H1096" s="1"/>
      <c r="K1096" s="9" t="s">
        <v>359</v>
      </c>
      <c r="L1096" s="9"/>
      <c r="M1096" s="9"/>
    </row>
    <row r="1097" spans="1:16" ht="15.75" customHeight="1" x14ac:dyDescent="0.35">
      <c r="B1097" s="20"/>
      <c r="G1097" s="1"/>
      <c r="H1097" s="1"/>
      <c r="K1097" s="32" t="s">
        <v>277</v>
      </c>
      <c r="L1097" s="9"/>
      <c r="M1097" s="9"/>
    </row>
    <row r="1098" spans="1:16" ht="15.75" customHeight="1" x14ac:dyDescent="0.35">
      <c r="B1098" s="9"/>
      <c r="C1098" s="9"/>
      <c r="D1098" s="9"/>
      <c r="E1098" s="9"/>
      <c r="F1098" s="12"/>
      <c r="G1098" s="12"/>
      <c r="H1098" s="12"/>
      <c r="I1098" s="12"/>
      <c r="J1098" s="12"/>
      <c r="K1098" s="12"/>
      <c r="L1098" s="1"/>
    </row>
    <row r="1099" spans="1:16" ht="15.75" customHeight="1" x14ac:dyDescent="0.35">
      <c r="B1099" s="13"/>
      <c r="C1099" s="13"/>
      <c r="D1099" s="15"/>
      <c r="G1099" s="16"/>
      <c r="H1099" s="14"/>
    </row>
    <row r="1100" spans="1:16" x14ac:dyDescent="0.35">
      <c r="B1100" s="13" t="s">
        <v>5</v>
      </c>
      <c r="C1100" s="13" t="s">
        <v>1</v>
      </c>
      <c r="D1100" s="15" t="str">
        <f>VLOOKUP(A1101,Inventory!$A$4:$K$1139,7)</f>
        <v>Leverhead Coffee</v>
      </c>
      <c r="F1100" s="13" t="s">
        <v>235</v>
      </c>
      <c r="G1100" s="16"/>
      <c r="H1100" s="16"/>
      <c r="I1100" s="16"/>
      <c r="J1100" s="16"/>
      <c r="L1100" s="17"/>
      <c r="M1100" s="17"/>
    </row>
    <row r="1101" spans="1:16" x14ac:dyDescent="0.35">
      <c r="A1101">
        <v>159</v>
      </c>
      <c r="B1101" s="5">
        <v>45022</v>
      </c>
      <c r="C1101" s="15" t="str">
        <f>VLOOKUP(A1101,Inventory!$A$4:$K$1139,2)</f>
        <v>Rwanda Abakundakawa 2020</v>
      </c>
      <c r="F1101" s="34" t="s">
        <v>279</v>
      </c>
      <c r="G1101" s="2" t="s">
        <v>270</v>
      </c>
      <c r="L1101" s="17"/>
      <c r="M1101" s="17"/>
      <c r="P1101" s="8"/>
    </row>
    <row r="1102" spans="1:16" x14ac:dyDescent="0.35">
      <c r="L1102" s="19"/>
      <c r="M1102" s="19"/>
    </row>
    <row r="1103" spans="1:16" x14ac:dyDescent="0.35">
      <c r="B1103" s="20"/>
      <c r="C1103" s="11" t="s">
        <v>240</v>
      </c>
      <c r="D1103" s="11" t="s">
        <v>241</v>
      </c>
      <c r="E1103" s="11">
        <v>372</v>
      </c>
      <c r="F1103" s="11">
        <v>380</v>
      </c>
      <c r="G1103" s="11">
        <v>387</v>
      </c>
      <c r="H1103" s="11">
        <v>396</v>
      </c>
      <c r="I1103" s="11">
        <v>402</v>
      </c>
      <c r="J1103" s="11" t="s">
        <v>373</v>
      </c>
      <c r="K1103" s="28"/>
      <c r="L1103" s="28"/>
    </row>
    <row r="1104" spans="1:16" ht="15.75" customHeight="1" x14ac:dyDescent="0.35">
      <c r="A1104" t="s">
        <v>16</v>
      </c>
      <c r="B1104" s="20" t="s">
        <v>242</v>
      </c>
      <c r="C1104" s="30"/>
      <c r="D1104" s="30"/>
      <c r="E1104" s="23" t="s">
        <v>244</v>
      </c>
      <c r="F1104" s="23" t="s">
        <v>245</v>
      </c>
      <c r="G1104" s="23" t="s">
        <v>246</v>
      </c>
      <c r="H1104" s="23" t="s">
        <v>247</v>
      </c>
      <c r="I1104" s="23" t="s">
        <v>248</v>
      </c>
      <c r="O1104" s="4"/>
    </row>
    <row r="1105" spans="1:16" ht="1" customHeight="1" x14ac:dyDescent="0.35">
      <c r="B1105" s="24" t="s">
        <v>249</v>
      </c>
      <c r="C1105" s="25"/>
      <c r="D1105" s="25"/>
      <c r="E1105" s="25">
        <v>388</v>
      </c>
      <c r="F1105" s="25">
        <v>393</v>
      </c>
      <c r="G1105" s="25">
        <v>397</v>
      </c>
      <c r="H1105" s="25">
        <v>401</v>
      </c>
      <c r="I1105" s="25"/>
      <c r="J1105" t="s">
        <v>280</v>
      </c>
      <c r="K1105" t="s">
        <v>280</v>
      </c>
      <c r="O1105" t="e">
        <f>(O1103-3*O1102)/O1104</f>
        <v>#DIV/0!</v>
      </c>
    </row>
    <row r="1106" spans="1:16" ht="15.75" customHeight="1" x14ac:dyDescent="0.35">
      <c r="B1106" s="20" t="s">
        <v>250</v>
      </c>
      <c r="C1106" s="26">
        <v>0.21875</v>
      </c>
      <c r="D1106" s="26">
        <v>0.2951388888888889</v>
      </c>
      <c r="E1106" s="26">
        <v>0.3888888888888889</v>
      </c>
      <c r="F1106" s="26">
        <f>E1106+'Lookup Tables'!$N$1</f>
        <v>0.40972222222222221</v>
      </c>
      <c r="G1106" s="26">
        <f>F1106+'Lookup Tables'!$N$1</f>
        <v>0.43055555555555552</v>
      </c>
      <c r="H1106" s="26">
        <f>G1106+'Lookup Tables'!$N$1</f>
        <v>0.45138888888888884</v>
      </c>
      <c r="I1106" s="26">
        <f>H1106+'Lookup Tables'!$S$1</f>
        <v>0.46180555555555552</v>
      </c>
      <c r="N1106">
        <f>MAX(F1103:M1103)-O1106</f>
        <v>30</v>
      </c>
      <c r="O1106" t="str">
        <f>RIGHT(E1103,3)</f>
        <v>372</v>
      </c>
    </row>
    <row r="1107" spans="1:16" ht="15.75" customHeight="1" x14ac:dyDescent="0.35">
      <c r="B1107" s="20" t="s">
        <v>251</v>
      </c>
      <c r="C1107" s="27">
        <v>0.2</v>
      </c>
      <c r="D1107" s="27">
        <v>0.5</v>
      </c>
      <c r="E1107" s="27"/>
      <c r="F1107" s="27"/>
      <c r="G1107" s="27"/>
      <c r="H1107" s="27" t="s">
        <v>274</v>
      </c>
      <c r="I1107" s="27"/>
      <c r="N1107" t="str">
        <f xml:space="preserve">  N1106 &amp; " degrees this time"</f>
        <v>30 degrees this time</v>
      </c>
    </row>
    <row r="1108" spans="1:16" ht="15.75" customHeight="1" x14ac:dyDescent="0.35">
      <c r="B1108" s="20" t="s">
        <v>252</v>
      </c>
      <c r="C1108" s="27">
        <v>0.9</v>
      </c>
      <c r="D1108" s="27">
        <v>0.8</v>
      </c>
      <c r="E1108" s="27">
        <v>0.6</v>
      </c>
      <c r="F1108" s="27">
        <v>0.5</v>
      </c>
      <c r="G1108" s="27">
        <v>0.3</v>
      </c>
      <c r="H1108" s="27" t="s">
        <v>274</v>
      </c>
      <c r="I1108" s="27" t="s">
        <v>275</v>
      </c>
    </row>
    <row r="1109" spans="1:16" ht="15.75" customHeight="1" x14ac:dyDescent="0.35">
      <c r="B1109" s="20"/>
      <c r="C1109" s="30"/>
      <c r="D1109" s="11"/>
      <c r="E1109" s="11"/>
      <c r="F1109" s="11"/>
      <c r="H1109" s="1"/>
      <c r="J1109" s="35"/>
    </row>
    <row r="1110" spans="1:16" ht="15.75" customHeight="1" x14ac:dyDescent="0.35">
      <c r="G1110" s="1" t="s">
        <v>342</v>
      </c>
      <c r="K1110" s="32" t="s">
        <v>343</v>
      </c>
      <c r="L1110" s="9"/>
      <c r="M1110" s="9"/>
    </row>
    <row r="1111" spans="1:16" ht="15.75" customHeight="1" x14ac:dyDescent="0.35">
      <c r="B1111" s="20"/>
      <c r="G1111" s="1"/>
      <c r="H1111" s="1"/>
      <c r="K1111" s="32"/>
      <c r="L1111" s="9"/>
      <c r="M1111" s="9"/>
    </row>
    <row r="1112" spans="1:16" ht="15.75" customHeight="1" x14ac:dyDescent="0.35">
      <c r="B1112" s="20"/>
      <c r="G1112" s="1"/>
      <c r="H1112" s="1"/>
      <c r="K1112" s="32" t="s">
        <v>254</v>
      </c>
      <c r="L1112" s="9"/>
      <c r="M1112" s="9"/>
    </row>
    <row r="1113" spans="1:16" ht="15.75" customHeight="1" x14ac:dyDescent="0.35">
      <c r="B1113" s="9"/>
      <c r="C1113" s="9"/>
      <c r="D1113" s="9"/>
      <c r="E1113" s="9"/>
      <c r="F1113" s="12"/>
      <c r="G1113" s="12"/>
      <c r="H1113" s="12"/>
      <c r="I1113" s="12"/>
      <c r="J1113" s="12"/>
      <c r="K1113" s="12"/>
      <c r="L1113" s="1"/>
    </row>
    <row r="1114" spans="1:16" ht="15.75" customHeight="1" x14ac:dyDescent="0.35">
      <c r="B1114" s="13"/>
      <c r="C1114" s="13"/>
      <c r="D1114" s="13"/>
      <c r="E1114" s="13"/>
      <c r="F1114" s="13"/>
      <c r="G1114" s="13"/>
      <c r="I1114" s="14"/>
    </row>
    <row r="1115" spans="1:16" x14ac:dyDescent="0.35">
      <c r="B1115" s="13" t="s">
        <v>5</v>
      </c>
      <c r="C1115" s="13" t="s">
        <v>1</v>
      </c>
      <c r="D1115" s="15" t="str">
        <f>VLOOKUP(A1116,Inventory!$A$4:$K$1139,7)</f>
        <v xml:space="preserve">Klatch                             </v>
      </c>
      <c r="F1115" s="13" t="s">
        <v>235</v>
      </c>
      <c r="G1115" s="16"/>
      <c r="L1115" s="17"/>
      <c r="M1115" s="17"/>
    </row>
    <row r="1116" spans="1:16" x14ac:dyDescent="0.35">
      <c r="A1116">
        <v>162</v>
      </c>
      <c r="B1116" s="5">
        <v>45022</v>
      </c>
      <c r="C1116" s="15" t="str">
        <f>VLOOKUP(A1116,Inventory!$A$4:$K$1139,2)</f>
        <v>El Salvador Las Mercedes Caturra 2020</v>
      </c>
      <c r="F1116" s="34" t="s">
        <v>279</v>
      </c>
      <c r="G1116" s="2" t="s">
        <v>270</v>
      </c>
      <c r="L1116" s="17"/>
      <c r="M1116" s="17"/>
      <c r="P1116" s="8"/>
    </row>
    <row r="1117" spans="1:16" x14ac:dyDescent="0.35">
      <c r="L1117" s="19"/>
      <c r="M1117" s="19"/>
    </row>
    <row r="1118" spans="1:16" x14ac:dyDescent="0.35">
      <c r="B1118" s="20"/>
      <c r="C1118" s="11" t="s">
        <v>240</v>
      </c>
      <c r="D1118" s="11" t="s">
        <v>272</v>
      </c>
      <c r="E1118" s="11">
        <v>364</v>
      </c>
      <c r="F1118" s="11">
        <v>373</v>
      </c>
      <c r="G1118" s="11">
        <v>381</v>
      </c>
      <c r="H1118" s="11">
        <v>389</v>
      </c>
      <c r="I1118" s="11" t="s">
        <v>356</v>
      </c>
      <c r="J1118" s="11"/>
      <c r="K1118" s="28"/>
      <c r="L1118" s="28"/>
    </row>
    <row r="1119" spans="1:16" ht="15.75" customHeight="1" x14ac:dyDescent="0.35">
      <c r="B1119" s="20" t="s">
        <v>242</v>
      </c>
      <c r="C1119" s="21"/>
      <c r="D1119" s="22" t="s">
        <v>294</v>
      </c>
      <c r="E1119" s="23" t="s">
        <v>244</v>
      </c>
      <c r="F1119" s="23" t="s">
        <v>245</v>
      </c>
      <c r="G1119" s="23" t="s">
        <v>246</v>
      </c>
      <c r="H1119" s="23" t="s">
        <v>247</v>
      </c>
      <c r="O1119" s="4"/>
    </row>
    <row r="1120" spans="1:16" ht="1" customHeight="1" x14ac:dyDescent="0.35">
      <c r="B1120" s="24" t="s">
        <v>249</v>
      </c>
      <c r="C1120" s="25"/>
      <c r="D1120" s="25"/>
      <c r="E1120" s="25">
        <v>384</v>
      </c>
      <c r="F1120" s="25">
        <v>392</v>
      </c>
      <c r="G1120" s="25">
        <v>395</v>
      </c>
      <c r="H1120" s="25"/>
      <c r="O1120" t="e">
        <f>(O1118-3*O1117)/O1119</f>
        <v>#DIV/0!</v>
      </c>
    </row>
    <row r="1121" spans="1:16" ht="15.75" customHeight="1" x14ac:dyDescent="0.35">
      <c r="B1121" s="20" t="s">
        <v>250</v>
      </c>
      <c r="C1121" s="26">
        <v>0.22569444444444445</v>
      </c>
      <c r="D1121" s="26">
        <v>0.30902777777777779</v>
      </c>
      <c r="E1121" s="26">
        <v>0.375</v>
      </c>
      <c r="F1121" s="26">
        <f>E1121+'Lookup Tables'!$N$1</f>
        <v>0.39583333333333331</v>
      </c>
      <c r="G1121" s="26">
        <f>F1121+'Lookup Tables'!$N$1</f>
        <v>0.41666666666666663</v>
      </c>
      <c r="H1121" s="26">
        <f>G1121+'Lookup Tables'!$N$1</f>
        <v>0.43749999999999994</v>
      </c>
      <c r="N1121">
        <f>MAX(F1118:M1118)-O1121</f>
        <v>25</v>
      </c>
      <c r="O1121" t="str">
        <f>RIGHT(E1118,3)</f>
        <v>364</v>
      </c>
    </row>
    <row r="1122" spans="1:16" ht="15.75" customHeight="1" x14ac:dyDescent="0.35">
      <c r="B1122" s="20" t="s">
        <v>251</v>
      </c>
      <c r="C1122" s="27">
        <v>0.2</v>
      </c>
      <c r="D1122" s="27">
        <v>0.5</v>
      </c>
      <c r="E1122" s="27"/>
      <c r="F1122" s="27" t="s">
        <v>274</v>
      </c>
      <c r="G1122" s="27"/>
      <c r="H1122" s="27"/>
      <c r="N1122" t="str">
        <f xml:space="preserve">  N1121 &amp; " degrees this time"</f>
        <v>25 degrees this time</v>
      </c>
    </row>
    <row r="1123" spans="1:16" ht="15.75" customHeight="1" x14ac:dyDescent="0.35">
      <c r="B1123" s="20" t="s">
        <v>252</v>
      </c>
      <c r="C1123" s="27">
        <v>0.9</v>
      </c>
      <c r="D1123" s="27">
        <v>0.8</v>
      </c>
      <c r="E1123" s="27">
        <v>0.5</v>
      </c>
      <c r="F1123" s="27" t="s">
        <v>274</v>
      </c>
      <c r="G1123" s="27"/>
      <c r="H1123" s="27" t="s">
        <v>275</v>
      </c>
    </row>
    <row r="1124" spans="1:16" ht="15.75" customHeight="1" x14ac:dyDescent="0.35">
      <c r="B1124" s="20"/>
      <c r="C1124" s="30"/>
      <c r="H1124" s="13"/>
      <c r="I1124" s="13"/>
      <c r="J1124" s="35"/>
    </row>
    <row r="1125" spans="1:16" ht="15.75" customHeight="1" x14ac:dyDescent="0.35">
      <c r="C1125" s="30"/>
      <c r="G1125" s="1" t="s">
        <v>344</v>
      </c>
      <c r="K1125" s="32" t="s">
        <v>345</v>
      </c>
      <c r="L1125" s="9"/>
      <c r="M1125" s="9"/>
    </row>
    <row r="1126" spans="1:16" ht="15.75" customHeight="1" x14ac:dyDescent="0.35">
      <c r="B1126" s="20"/>
      <c r="G1126" s="1"/>
      <c r="H1126" s="1"/>
      <c r="K1126" s="32"/>
      <c r="L1126" s="9"/>
      <c r="M1126" s="9"/>
    </row>
    <row r="1127" spans="1:16" ht="15.75" customHeight="1" x14ac:dyDescent="0.35">
      <c r="B1127" s="20"/>
      <c r="G1127" s="1"/>
      <c r="H1127" s="1"/>
      <c r="K1127" s="32" t="s">
        <v>277</v>
      </c>
      <c r="L1127" s="9"/>
      <c r="M1127" s="9"/>
    </row>
    <row r="1128" spans="1:16" ht="15.75" customHeight="1" x14ac:dyDescent="0.35">
      <c r="B1128" s="9"/>
      <c r="C1128" s="9"/>
      <c r="D1128" s="9"/>
      <c r="E1128" s="9"/>
      <c r="F1128" s="12"/>
      <c r="G1128" s="12"/>
      <c r="H1128" s="12"/>
      <c r="I1128" s="12"/>
      <c r="J1128" s="12"/>
      <c r="K1128" s="12"/>
      <c r="L1128" s="1"/>
    </row>
    <row r="1129" spans="1:16" ht="15.75" customHeight="1" x14ac:dyDescent="0.35">
      <c r="B1129" s="13"/>
      <c r="C1129" s="13"/>
      <c r="D1129" s="13"/>
      <c r="E1129" s="13"/>
      <c r="F1129" s="33" t="s">
        <v>282</v>
      </c>
      <c r="G1129" s="13"/>
      <c r="I1129" s="14"/>
    </row>
    <row r="1130" spans="1:16" x14ac:dyDescent="0.35">
      <c r="B1130" s="13" t="s">
        <v>5</v>
      </c>
      <c r="C1130" s="13" t="s">
        <v>1</v>
      </c>
      <c r="D1130" s="15" t="str">
        <f>VLOOKUP(A1131,Inventory!$A$4:$K$1139,7)</f>
        <v xml:space="preserve">Sweet Marias                       </v>
      </c>
      <c r="F1130" s="13" t="s">
        <v>235</v>
      </c>
      <c r="G1130" s="16"/>
      <c r="H1130" s="14" t="s">
        <v>236</v>
      </c>
      <c r="L1130" s="17"/>
      <c r="M1130" s="17"/>
    </row>
    <row r="1131" spans="1:16" x14ac:dyDescent="0.35">
      <c r="A1131">
        <v>170</v>
      </c>
      <c r="B1131" s="5">
        <v>45010</v>
      </c>
      <c r="C1131" s="15" t="str">
        <f>VLOOKUP(A1131,Inventory!$A$4:$K$1139,2)</f>
        <v>Guatemala Cafeteros SWP Decaf 2021</v>
      </c>
      <c r="F1131" s="18" t="s">
        <v>237</v>
      </c>
      <c r="G1131" s="2" t="s">
        <v>238</v>
      </c>
      <c r="L1131" s="17"/>
      <c r="M1131" s="17"/>
      <c r="P1131" s="8"/>
    </row>
    <row r="1132" spans="1:16" x14ac:dyDescent="0.35">
      <c r="I1132" s="2" t="s">
        <v>239</v>
      </c>
      <c r="J1132" s="1" t="s">
        <v>16</v>
      </c>
      <c r="L1132" s="19"/>
      <c r="M1132" s="19"/>
    </row>
    <row r="1133" spans="1:16" x14ac:dyDescent="0.35">
      <c r="C1133" s="11" t="s">
        <v>240</v>
      </c>
      <c r="D1133" s="11" t="s">
        <v>241</v>
      </c>
      <c r="E1133" s="11">
        <v>376</v>
      </c>
      <c r="F1133" s="11">
        <v>382</v>
      </c>
      <c r="G1133" s="11">
        <v>389</v>
      </c>
      <c r="H1133" s="11">
        <v>397</v>
      </c>
      <c r="I1133" s="11">
        <v>401</v>
      </c>
      <c r="J1133" s="11" t="s">
        <v>373</v>
      </c>
      <c r="K1133" s="11"/>
      <c r="L1133" s="11"/>
    </row>
    <row r="1134" spans="1:16" ht="15.75" customHeight="1" x14ac:dyDescent="0.35">
      <c r="B1134" s="20" t="s">
        <v>242</v>
      </c>
      <c r="C1134" s="21"/>
      <c r="D1134" s="22" t="s">
        <v>243</v>
      </c>
      <c r="E1134" s="23" t="s">
        <v>244</v>
      </c>
      <c r="F1134" s="23" t="s">
        <v>245</v>
      </c>
      <c r="G1134" s="23" t="s">
        <v>246</v>
      </c>
      <c r="H1134" s="23" t="s">
        <v>247</v>
      </c>
      <c r="I1134" s="23" t="s">
        <v>259</v>
      </c>
      <c r="O1134" s="4"/>
    </row>
    <row r="1135" spans="1:16" ht="1" customHeight="1" x14ac:dyDescent="0.35">
      <c r="B1135" s="24" t="s">
        <v>249</v>
      </c>
      <c r="C1135" s="25">
        <v>320</v>
      </c>
      <c r="D1135" s="25">
        <v>350</v>
      </c>
      <c r="E1135" s="25">
        <v>377</v>
      </c>
      <c r="F1135" s="25">
        <v>384</v>
      </c>
      <c r="G1135" s="25">
        <v>388</v>
      </c>
      <c r="H1135" s="25">
        <v>392</v>
      </c>
      <c r="I1135" s="25">
        <v>392</v>
      </c>
      <c r="O1135" t="e">
        <f>(O1133-3*O1132)/O1134</f>
        <v>#DIV/0!</v>
      </c>
    </row>
    <row r="1136" spans="1:16" ht="15.75" customHeight="1" x14ac:dyDescent="0.35">
      <c r="B1136" s="20" t="s">
        <v>250</v>
      </c>
      <c r="C1136" s="26">
        <v>0.25694444444444448</v>
      </c>
      <c r="D1136" s="26">
        <v>0.34027777777777773</v>
      </c>
      <c r="E1136" s="26">
        <v>0.46180555555555558</v>
      </c>
      <c r="F1136" s="26">
        <f>E1136+'Lookup Tables'!$N$1</f>
        <v>0.4826388888888889</v>
      </c>
      <c r="G1136" s="26">
        <f>F1136+'Lookup Tables'!$N$1</f>
        <v>0.50347222222222221</v>
      </c>
      <c r="H1136" s="26">
        <f>G1136+'Lookup Tables'!$N$1</f>
        <v>0.52430555555555558</v>
      </c>
      <c r="I1136" s="26">
        <f>H1136+'Lookup Tables'!$N$1</f>
        <v>0.54513888888888895</v>
      </c>
      <c r="N1136">
        <f>MAX(F1133:M1133)-O1136</f>
        <v>25</v>
      </c>
      <c r="O1136" t="str">
        <f>RIGHT(E1133,3)</f>
        <v>376</v>
      </c>
    </row>
    <row r="1137" spans="1:16" ht="15.75" customHeight="1" x14ac:dyDescent="0.35">
      <c r="B1137" s="20" t="s">
        <v>251</v>
      </c>
      <c r="C1137" s="27">
        <v>0.2</v>
      </c>
      <c r="D1137" s="27">
        <v>0.5</v>
      </c>
      <c r="E1137" s="27"/>
      <c r="F1137" s="27"/>
      <c r="G1137" s="27"/>
      <c r="H1137" s="27"/>
      <c r="I1137" s="27"/>
      <c r="N1137" t="str">
        <f xml:space="preserve">  N1136 &amp; " degrees this time"</f>
        <v>25 degrees this time</v>
      </c>
    </row>
    <row r="1138" spans="1:16" ht="15.75" customHeight="1" x14ac:dyDescent="0.35">
      <c r="B1138" s="20" t="s">
        <v>252</v>
      </c>
      <c r="C1138" s="27">
        <v>0.9</v>
      </c>
      <c r="D1138" s="27">
        <v>0.8</v>
      </c>
      <c r="E1138" s="27">
        <v>0.7</v>
      </c>
      <c r="F1138" s="27"/>
      <c r="G1138" s="27">
        <v>0.5</v>
      </c>
      <c r="H1138" s="27"/>
      <c r="I1138" s="27"/>
    </row>
    <row r="1139" spans="1:16" ht="15.75" customHeight="1" x14ac:dyDescent="0.35">
      <c r="B1139" s="20"/>
      <c r="D1139" s="11"/>
      <c r="E1139" s="11"/>
      <c r="F1139" s="28"/>
      <c r="H1139" s="1"/>
      <c r="I1139" s="1"/>
    </row>
    <row r="1140" spans="1:16" ht="15.75" customHeight="1" x14ac:dyDescent="0.35">
      <c r="C1140" s="1"/>
      <c r="G1140" s="1" t="s">
        <v>253</v>
      </c>
      <c r="K1140" s="12"/>
      <c r="L1140" s="9"/>
      <c r="M1140" s="9"/>
    </row>
    <row r="1141" spans="1:16" ht="15.75" customHeight="1" x14ac:dyDescent="0.35">
      <c r="B1141" s="20"/>
      <c r="G1141" s="1"/>
      <c r="H1141" s="1"/>
      <c r="K1141" s="9"/>
      <c r="L1141" s="9"/>
      <c r="M1141" s="9"/>
    </row>
    <row r="1142" spans="1:16" ht="15.75" customHeight="1" x14ac:dyDescent="0.35">
      <c r="B1142" s="20"/>
      <c r="G1142" s="1"/>
      <c r="H1142" s="1"/>
      <c r="K1142" s="9" t="s">
        <v>254</v>
      </c>
      <c r="L1142" s="9"/>
      <c r="M1142" s="9"/>
    </row>
    <row r="1143" spans="1:16" ht="15.75" customHeight="1" x14ac:dyDescent="0.35">
      <c r="B1143" s="9"/>
      <c r="C1143" s="9"/>
      <c r="D1143" s="9"/>
      <c r="E1143" s="9"/>
      <c r="F1143" s="12"/>
      <c r="G1143" s="12"/>
      <c r="H1143" s="12"/>
      <c r="I1143" s="12"/>
      <c r="J1143" s="12"/>
      <c r="K1143" s="12"/>
      <c r="L1143" s="1"/>
    </row>
    <row r="1144" spans="1:16" ht="15.75" customHeight="1" x14ac:dyDescent="0.35">
      <c r="B1144" s="13"/>
      <c r="C1144" s="13"/>
      <c r="D1144" s="15"/>
      <c r="F1144" s="33" t="s">
        <v>282</v>
      </c>
      <c r="H1144" s="14" t="s">
        <v>255</v>
      </c>
      <c r="I1144" s="14"/>
    </row>
    <row r="1145" spans="1:16" x14ac:dyDescent="0.35">
      <c r="B1145" s="13" t="s">
        <v>5</v>
      </c>
      <c r="C1145" s="13" t="s">
        <v>1</v>
      </c>
      <c r="D1145" s="15" t="str">
        <f>VLOOKUP(A1146,Inventory!$A$4:$K$1139,7)</f>
        <v xml:space="preserve">Sweet Marias                       </v>
      </c>
      <c r="F1145" s="13" t="s">
        <v>235</v>
      </c>
      <c r="G1145" s="16"/>
      <c r="H1145" s="14" t="s">
        <v>256</v>
      </c>
    </row>
    <row r="1146" spans="1:16" x14ac:dyDescent="0.35">
      <c r="A1146">
        <v>170</v>
      </c>
      <c r="B1146" s="5">
        <v>45010</v>
      </c>
      <c r="C1146" s="15" t="str">
        <f>VLOOKUP(A1146,Inventory!$A$4:$K$1139,2)</f>
        <v>Guatemala Cafeteros SWP Decaf 2021</v>
      </c>
      <c r="F1146" s="18" t="s">
        <v>257</v>
      </c>
      <c r="G1146" s="2" t="s">
        <v>238</v>
      </c>
      <c r="P1146" s="8"/>
    </row>
    <row r="1147" spans="1:16" x14ac:dyDescent="0.35">
      <c r="H1147" s="2" t="s">
        <v>258</v>
      </c>
    </row>
    <row r="1148" spans="1:16" x14ac:dyDescent="0.35">
      <c r="C1148" s="11" t="s">
        <v>240</v>
      </c>
      <c r="D1148" s="11" t="s">
        <v>241</v>
      </c>
      <c r="E1148" s="11">
        <v>370</v>
      </c>
      <c r="F1148" s="11">
        <v>375</v>
      </c>
      <c r="G1148" s="11">
        <v>381</v>
      </c>
      <c r="H1148" s="11">
        <v>388</v>
      </c>
      <c r="I1148" s="11"/>
      <c r="J1148" s="11"/>
      <c r="K1148" s="11"/>
      <c r="L1148" s="11"/>
    </row>
    <row r="1149" spans="1:16" ht="15.75" customHeight="1" x14ac:dyDescent="0.35">
      <c r="B1149" s="20" t="s">
        <v>242</v>
      </c>
      <c r="C1149" s="21"/>
      <c r="D1149" s="22" t="s">
        <v>294</v>
      </c>
      <c r="E1149" s="23" t="s">
        <v>244</v>
      </c>
      <c r="F1149" s="23" t="s">
        <v>245</v>
      </c>
      <c r="G1149" s="23" t="s">
        <v>246</v>
      </c>
      <c r="H1149" s="23" t="s">
        <v>247</v>
      </c>
      <c r="I1149" s="23" t="s">
        <v>259</v>
      </c>
      <c r="J1149" s="23" t="s">
        <v>260</v>
      </c>
      <c r="K1149" s="23" t="s">
        <v>261</v>
      </c>
      <c r="O1149" s="4"/>
    </row>
    <row r="1150" spans="1:16" ht="1" customHeight="1" x14ac:dyDescent="0.35">
      <c r="B1150" s="24" t="s">
        <v>249</v>
      </c>
      <c r="C1150" s="25">
        <v>320</v>
      </c>
      <c r="D1150" s="25">
        <v>350</v>
      </c>
      <c r="E1150" s="25">
        <v>377</v>
      </c>
      <c r="F1150" s="25">
        <v>384</v>
      </c>
      <c r="G1150" s="25">
        <v>388</v>
      </c>
      <c r="H1150" s="25">
        <v>392</v>
      </c>
      <c r="I1150" s="25">
        <v>395</v>
      </c>
      <c r="J1150" s="25">
        <v>415</v>
      </c>
      <c r="K1150" s="25">
        <v>415</v>
      </c>
      <c r="O1150" t="e">
        <f>(O1148-3*O1147)/O1149</f>
        <v>#DIV/0!</v>
      </c>
    </row>
    <row r="1151" spans="1:16" ht="15.75" customHeight="1" x14ac:dyDescent="0.35">
      <c r="B1151" s="20" t="s">
        <v>250</v>
      </c>
      <c r="C1151" s="26">
        <v>0.23611111111111113</v>
      </c>
      <c r="D1151" s="26">
        <v>0.32291666666666669</v>
      </c>
      <c r="E1151" s="26">
        <v>0.44444444444444442</v>
      </c>
      <c r="F1151" s="26">
        <f>E1151+'Lookup Tables'!$N$1</f>
        <v>0.46527777777777773</v>
      </c>
      <c r="G1151" s="26">
        <f>F1151+'Lookup Tables'!$N$1</f>
        <v>0.48611111111111105</v>
      </c>
      <c r="H1151" s="26">
        <f>G1151+'Lookup Tables'!$N$1</f>
        <v>0.50694444444444442</v>
      </c>
      <c r="I1151" s="26">
        <f>H1151+'Lookup Tables'!$N$1</f>
        <v>0.52777777777777779</v>
      </c>
      <c r="J1151" s="26">
        <f>I1151+'Lookup Tables'!$M$1</f>
        <v>0.53819444444444442</v>
      </c>
      <c r="K1151" s="26">
        <f>J1151+'Lookup Tables'!$M$1</f>
        <v>0.54861111111111105</v>
      </c>
      <c r="N1151">
        <f>MAX(F1148:M1148)-O1151</f>
        <v>18</v>
      </c>
      <c r="O1151" t="str">
        <f>RIGHT(E1148,3)</f>
        <v>370</v>
      </c>
    </row>
    <row r="1152" spans="1:16" ht="15.75" customHeight="1" x14ac:dyDescent="0.35">
      <c r="B1152" s="20" t="s">
        <v>251</v>
      </c>
      <c r="C1152" s="27">
        <v>0.2</v>
      </c>
      <c r="D1152" s="27">
        <v>0.5</v>
      </c>
      <c r="E1152" s="27"/>
      <c r="F1152" s="27"/>
      <c r="G1152" s="27"/>
      <c r="H1152" s="27"/>
      <c r="I1152" s="27"/>
      <c r="J1152" s="27"/>
      <c r="K1152" s="25"/>
      <c r="N1152" t="str">
        <f xml:space="preserve">  N1151 &amp; " degrees this time"</f>
        <v>18 degrees this time</v>
      </c>
    </row>
    <row r="1153" spans="1:16" ht="15.75" customHeight="1" x14ac:dyDescent="0.35">
      <c r="B1153" s="20" t="s">
        <v>252</v>
      </c>
      <c r="C1153" s="27">
        <v>0.9</v>
      </c>
      <c r="D1153" s="27">
        <v>0.7</v>
      </c>
      <c r="E1153" s="27">
        <v>0.6</v>
      </c>
      <c r="F1153" s="27"/>
      <c r="G1153" s="27"/>
      <c r="H1153" s="27"/>
      <c r="I1153" s="27"/>
      <c r="J1153" s="27"/>
      <c r="K1153" s="27"/>
    </row>
    <row r="1154" spans="1:16" ht="15.75" customHeight="1" x14ac:dyDescent="0.35">
      <c r="B1154" s="20"/>
      <c r="D1154" s="11"/>
      <c r="E1154" s="11"/>
      <c r="F1154" s="28"/>
      <c r="H1154" s="1"/>
    </row>
    <row r="1155" spans="1:16" ht="15.75" customHeight="1" x14ac:dyDescent="0.35">
      <c r="B1155" s="1" t="s">
        <v>262</v>
      </c>
      <c r="F1155" t="s">
        <v>263</v>
      </c>
      <c r="G1155" s="1"/>
      <c r="K1155" s="12"/>
      <c r="L1155" s="9"/>
      <c r="M1155" s="9"/>
    </row>
    <row r="1156" spans="1:16" ht="15.75" customHeight="1" x14ac:dyDescent="0.35">
      <c r="B1156" s="20" t="s">
        <v>264</v>
      </c>
      <c r="D1156" s="29"/>
      <c r="F1156" t="s">
        <v>265</v>
      </c>
      <c r="G1156" s="1"/>
      <c r="H1156" s="1"/>
      <c r="K1156" s="9" t="s">
        <v>266</v>
      </c>
      <c r="L1156" s="9"/>
      <c r="M1156" s="9"/>
    </row>
    <row r="1157" spans="1:16" ht="15.75" customHeight="1" x14ac:dyDescent="0.35">
      <c r="B1157" s="20" t="s">
        <v>267</v>
      </c>
      <c r="F1157" t="s">
        <v>268</v>
      </c>
      <c r="G1157" s="1"/>
      <c r="H1157" s="1"/>
      <c r="K1157" s="9" t="s">
        <v>254</v>
      </c>
      <c r="L1157" s="9"/>
      <c r="M1157" s="9"/>
    </row>
    <row r="1158" spans="1:16" ht="15.75" customHeight="1" x14ac:dyDescent="0.35">
      <c r="B1158" s="9"/>
      <c r="C1158" s="9"/>
      <c r="D1158" s="9"/>
      <c r="E1158" s="9"/>
      <c r="F1158" s="12"/>
      <c r="G1158" s="12"/>
      <c r="H1158" s="12"/>
      <c r="I1158" s="12"/>
      <c r="J1158" s="12"/>
      <c r="K1158" s="12"/>
      <c r="L1158" s="1"/>
    </row>
    <row r="1159" spans="1:16" ht="15.75" customHeight="1" x14ac:dyDescent="0.35">
      <c r="B1159" s="13"/>
      <c r="C1159" s="13"/>
      <c r="D1159" s="13"/>
      <c r="E1159" s="13"/>
      <c r="F1159" s="33" t="s">
        <v>278</v>
      </c>
      <c r="G1159" s="13"/>
      <c r="I1159" s="14"/>
    </row>
    <row r="1160" spans="1:16" x14ac:dyDescent="0.35">
      <c r="B1160" s="13" t="s">
        <v>5</v>
      </c>
      <c r="C1160" s="13" t="s">
        <v>1</v>
      </c>
      <c r="D1160" s="15" t="str">
        <f>VLOOKUP(A1161,Inventory!$A$4:$K$1139,7)</f>
        <v xml:space="preserve">Sweet Marias                       </v>
      </c>
      <c r="F1160" s="13" t="s">
        <v>235</v>
      </c>
      <c r="G1160" s="16"/>
      <c r="H1160" s="14" t="s">
        <v>236</v>
      </c>
      <c r="L1160" s="17"/>
      <c r="M1160" s="17"/>
    </row>
    <row r="1161" spans="1:16" x14ac:dyDescent="0.35">
      <c r="A1161">
        <v>171</v>
      </c>
      <c r="B1161" s="5">
        <v>45010</v>
      </c>
      <c r="C1161" s="15" t="str">
        <f>VLOOKUP(A1161,Inventory!$A$4:$K$1139,2)</f>
        <v>Ethiopia Gera-Goma SWP Decaf 2021</v>
      </c>
      <c r="F1161" s="18" t="s">
        <v>237</v>
      </c>
      <c r="G1161" s="2" t="s">
        <v>238</v>
      </c>
      <c r="L1161" s="17"/>
      <c r="M1161" s="17"/>
      <c r="P1161" s="8"/>
    </row>
    <row r="1162" spans="1:16" x14ac:dyDescent="0.35">
      <c r="I1162" s="2" t="s">
        <v>239</v>
      </c>
      <c r="J1162" s="1" t="s">
        <v>16</v>
      </c>
      <c r="L1162" s="19"/>
      <c r="M1162" s="19"/>
    </row>
    <row r="1163" spans="1:16" x14ac:dyDescent="0.35">
      <c r="C1163" s="11" t="s">
        <v>240</v>
      </c>
      <c r="D1163" s="11" t="s">
        <v>241</v>
      </c>
      <c r="E1163" s="11">
        <v>375</v>
      </c>
      <c r="F1163" s="11">
        <v>383</v>
      </c>
      <c r="G1163" s="11">
        <v>390</v>
      </c>
      <c r="H1163" s="11">
        <v>397</v>
      </c>
      <c r="I1163" s="11">
        <v>400</v>
      </c>
      <c r="J1163" s="11" t="s">
        <v>312</v>
      </c>
      <c r="K1163" s="11"/>
      <c r="L1163" s="11"/>
    </row>
    <row r="1164" spans="1:16" ht="15.75" customHeight="1" x14ac:dyDescent="0.35">
      <c r="B1164" s="20" t="s">
        <v>242</v>
      </c>
      <c r="C1164" s="21"/>
      <c r="D1164" s="22" t="s">
        <v>333</v>
      </c>
      <c r="E1164" s="23" t="s">
        <v>244</v>
      </c>
      <c r="F1164" s="23" t="s">
        <v>245</v>
      </c>
      <c r="G1164" s="23" t="s">
        <v>246</v>
      </c>
      <c r="H1164" s="23" t="s">
        <v>247</v>
      </c>
      <c r="I1164" s="23" t="s">
        <v>259</v>
      </c>
      <c r="O1164" s="4"/>
    </row>
    <row r="1165" spans="1:16" ht="1" customHeight="1" x14ac:dyDescent="0.35">
      <c r="B1165" s="24" t="s">
        <v>249</v>
      </c>
      <c r="C1165" s="25">
        <v>320</v>
      </c>
      <c r="D1165" s="25">
        <v>350</v>
      </c>
      <c r="E1165" s="25">
        <v>377</v>
      </c>
      <c r="F1165" s="25">
        <v>384</v>
      </c>
      <c r="G1165" s="25">
        <v>388</v>
      </c>
      <c r="H1165" s="25">
        <v>392</v>
      </c>
      <c r="I1165" s="25">
        <v>415</v>
      </c>
      <c r="O1165" t="e">
        <f>(O1163-3*O1162)/O1164</f>
        <v>#DIV/0!</v>
      </c>
    </row>
    <row r="1166" spans="1:16" ht="15.75" customHeight="1" x14ac:dyDescent="0.35">
      <c r="B1166" s="20" t="s">
        <v>250</v>
      </c>
      <c r="C1166" s="26">
        <v>0.24305555555555555</v>
      </c>
      <c r="D1166" s="26">
        <v>0.3263888888888889</v>
      </c>
      <c r="E1166" s="26">
        <v>0.43402777777777773</v>
      </c>
      <c r="F1166" s="26">
        <f>E1166+'Lookup Tables'!$N$1</f>
        <v>0.45486111111111105</v>
      </c>
      <c r="G1166" s="26">
        <f>F1166+'Lookup Tables'!$N$1</f>
        <v>0.47569444444444436</v>
      </c>
      <c r="H1166" s="26">
        <f>G1166+'Lookup Tables'!$N$1</f>
        <v>0.49652777777777768</v>
      </c>
      <c r="I1166" s="26">
        <f>H1166+'Lookup Tables'!$N$1</f>
        <v>0.51736111111111105</v>
      </c>
      <c r="N1166">
        <f>MAX(F1163:M1163)-O1166</f>
        <v>25</v>
      </c>
      <c r="O1166" t="str">
        <f>RIGHT(E1163,3)</f>
        <v>375</v>
      </c>
    </row>
    <row r="1167" spans="1:16" ht="15.75" customHeight="1" x14ac:dyDescent="0.35">
      <c r="B1167" s="20" t="s">
        <v>251</v>
      </c>
      <c r="C1167" s="27">
        <v>0.2</v>
      </c>
      <c r="D1167" s="27">
        <v>0.5</v>
      </c>
      <c r="E1167" s="27"/>
      <c r="F1167" s="27"/>
      <c r="G1167" s="27"/>
      <c r="H1167" s="27"/>
      <c r="I1167" s="25"/>
      <c r="N1167" t="str">
        <f xml:space="preserve">  N1166 &amp; " degrees this time"</f>
        <v>25 degrees this time</v>
      </c>
    </row>
    <row r="1168" spans="1:16" ht="15.75" customHeight="1" x14ac:dyDescent="0.35">
      <c r="B1168" s="20" t="s">
        <v>252</v>
      </c>
      <c r="C1168" s="27">
        <v>0.9</v>
      </c>
      <c r="D1168" s="27">
        <v>0.8</v>
      </c>
      <c r="E1168" s="27"/>
      <c r="F1168" s="27"/>
      <c r="G1168" s="27"/>
      <c r="H1168" s="27"/>
      <c r="I1168" s="27" t="s">
        <v>275</v>
      </c>
    </row>
    <row r="1169" spans="1:16" ht="15.75" customHeight="1" x14ac:dyDescent="0.35">
      <c r="B1169" s="20"/>
      <c r="D1169" s="11"/>
      <c r="E1169" s="11"/>
      <c r="F1169" s="28"/>
    </row>
    <row r="1170" spans="1:16" ht="15.75" customHeight="1" x14ac:dyDescent="0.35">
      <c r="C1170" s="1"/>
      <c r="G1170" s="1" t="s">
        <v>253</v>
      </c>
      <c r="K1170" s="12"/>
      <c r="L1170" s="9"/>
      <c r="M1170" s="9"/>
    </row>
    <row r="1171" spans="1:16" ht="15.75" customHeight="1" x14ac:dyDescent="0.35">
      <c r="B1171" s="20"/>
      <c r="G1171" s="1"/>
      <c r="H1171" s="1"/>
      <c r="K1171" s="9"/>
      <c r="L1171" s="9"/>
      <c r="M1171" s="9"/>
    </row>
    <row r="1172" spans="1:16" ht="15.75" customHeight="1" x14ac:dyDescent="0.35">
      <c r="B1172" s="20"/>
      <c r="G1172" s="1"/>
      <c r="H1172" s="1"/>
      <c r="K1172" s="9" t="s">
        <v>254</v>
      </c>
      <c r="L1172" s="9"/>
      <c r="M1172" s="9"/>
    </row>
    <row r="1173" spans="1:16" ht="15.75" customHeight="1" x14ac:dyDescent="0.35">
      <c r="B1173" s="9"/>
      <c r="C1173" s="9"/>
      <c r="D1173" s="9"/>
      <c r="E1173" s="9"/>
      <c r="F1173" s="12"/>
      <c r="G1173" s="12"/>
      <c r="H1173" s="12"/>
      <c r="I1173" s="12"/>
      <c r="J1173" s="12"/>
      <c r="K1173" s="12"/>
      <c r="L1173" s="1"/>
    </row>
    <row r="1174" spans="1:16" ht="15.75" customHeight="1" x14ac:dyDescent="0.35">
      <c r="B1174" s="13"/>
      <c r="C1174" s="13"/>
      <c r="D1174" s="15"/>
      <c r="F1174" s="33" t="s">
        <v>278</v>
      </c>
      <c r="H1174" s="14" t="s">
        <v>255</v>
      </c>
      <c r="I1174" s="14"/>
    </row>
    <row r="1175" spans="1:16" x14ac:dyDescent="0.35">
      <c r="B1175" s="13" t="s">
        <v>5</v>
      </c>
      <c r="C1175" s="13" t="s">
        <v>1</v>
      </c>
      <c r="D1175" s="15" t="str">
        <f>VLOOKUP(A1176,Inventory!$A$4:$K$1139,7)</f>
        <v xml:space="preserve">Sweet Marias                       </v>
      </c>
      <c r="F1175" s="13" t="s">
        <v>235</v>
      </c>
      <c r="G1175" s="16"/>
      <c r="H1175" s="14" t="s">
        <v>256</v>
      </c>
      <c r="K1175" s="12" t="s">
        <v>334</v>
      </c>
      <c r="L1175" s="9"/>
      <c r="M1175" s="9"/>
    </row>
    <row r="1176" spans="1:16" x14ac:dyDescent="0.35">
      <c r="A1176">
        <v>171</v>
      </c>
      <c r="B1176" s="5">
        <v>45010</v>
      </c>
      <c r="C1176" s="15" t="str">
        <f>VLOOKUP(A1176,Inventory!$A$4:$K$1139,2)</f>
        <v>Ethiopia Gera-Goma SWP Decaf 2021</v>
      </c>
      <c r="F1176" s="18" t="s">
        <v>257</v>
      </c>
      <c r="G1176" s="2" t="s">
        <v>238</v>
      </c>
      <c r="P1176" s="8"/>
    </row>
    <row r="1177" spans="1:16" x14ac:dyDescent="0.35">
      <c r="H1177" s="2" t="s">
        <v>258</v>
      </c>
    </row>
    <row r="1178" spans="1:16" x14ac:dyDescent="0.35">
      <c r="C1178" s="11" t="s">
        <v>240</v>
      </c>
      <c r="D1178" s="11" t="s">
        <v>241</v>
      </c>
      <c r="E1178" s="11">
        <v>368</v>
      </c>
      <c r="F1178" s="11">
        <v>373</v>
      </c>
      <c r="G1178" s="11">
        <v>379</v>
      </c>
      <c r="H1178" s="11">
        <v>386</v>
      </c>
      <c r="I1178" s="11"/>
      <c r="J1178" s="11"/>
      <c r="K1178" s="11"/>
      <c r="L1178" s="11"/>
    </row>
    <row r="1179" spans="1:16" ht="15.75" customHeight="1" x14ac:dyDescent="0.35">
      <c r="B1179" s="20" t="s">
        <v>242</v>
      </c>
      <c r="C1179" s="21"/>
      <c r="D1179" s="22" t="s">
        <v>294</v>
      </c>
      <c r="E1179" s="23" t="s">
        <v>244</v>
      </c>
      <c r="F1179" s="23" t="s">
        <v>245</v>
      </c>
      <c r="G1179" s="23" t="s">
        <v>246</v>
      </c>
      <c r="H1179" s="23" t="s">
        <v>247</v>
      </c>
      <c r="I1179" s="23" t="s">
        <v>259</v>
      </c>
      <c r="J1179" s="23" t="s">
        <v>260</v>
      </c>
      <c r="K1179" s="23" t="s">
        <v>261</v>
      </c>
      <c r="O1179" s="4"/>
    </row>
    <row r="1180" spans="1:16" ht="1" customHeight="1" x14ac:dyDescent="0.35">
      <c r="B1180" s="24" t="s">
        <v>249</v>
      </c>
      <c r="C1180" s="25">
        <v>320</v>
      </c>
      <c r="D1180" s="25">
        <v>350</v>
      </c>
      <c r="E1180" s="25">
        <v>377</v>
      </c>
      <c r="F1180" s="25">
        <v>384</v>
      </c>
      <c r="G1180" s="25">
        <v>388</v>
      </c>
      <c r="H1180" s="25">
        <v>392</v>
      </c>
      <c r="I1180" s="25">
        <v>395</v>
      </c>
      <c r="J1180" s="25">
        <v>415</v>
      </c>
      <c r="K1180" s="25">
        <v>415</v>
      </c>
      <c r="O1180" t="e">
        <f>(O1178-3*O1177)/O1179</f>
        <v>#DIV/0!</v>
      </c>
    </row>
    <row r="1181" spans="1:16" ht="15.75" customHeight="1" x14ac:dyDescent="0.35">
      <c r="B1181" s="20" t="s">
        <v>250</v>
      </c>
      <c r="C1181" s="26">
        <v>0.23611111111111113</v>
      </c>
      <c r="D1181" s="26">
        <v>0.31944444444444448</v>
      </c>
      <c r="E1181" s="26">
        <v>0.4201388888888889</v>
      </c>
      <c r="F1181" s="26">
        <f>E1181+'Lookup Tables'!$N$1</f>
        <v>0.44097222222222221</v>
      </c>
      <c r="G1181" s="26">
        <f>F1181+'Lookup Tables'!$N$1</f>
        <v>0.46180555555555552</v>
      </c>
      <c r="H1181" s="26">
        <f>G1181+'Lookup Tables'!$N$1</f>
        <v>0.48263888888888884</v>
      </c>
      <c r="I1181" s="26">
        <f>H1181+'Lookup Tables'!$N$1</f>
        <v>0.50347222222222221</v>
      </c>
      <c r="J1181" s="26">
        <f>I1181+'Lookup Tables'!$M$1</f>
        <v>0.51388888888888884</v>
      </c>
      <c r="K1181" s="26">
        <f>J1181+'Lookup Tables'!$M$1</f>
        <v>0.52430555555555547</v>
      </c>
      <c r="N1181">
        <f>MAX(F1178:M1178)-O1181</f>
        <v>18</v>
      </c>
      <c r="O1181" t="str">
        <f>RIGHT(E1178,3)</f>
        <v>368</v>
      </c>
    </row>
    <row r="1182" spans="1:16" ht="15.75" customHeight="1" x14ac:dyDescent="0.35">
      <c r="B1182" s="20" t="s">
        <v>251</v>
      </c>
      <c r="C1182" s="27">
        <v>0.2</v>
      </c>
      <c r="D1182" s="27">
        <v>0.5</v>
      </c>
      <c r="E1182" s="27"/>
      <c r="F1182" s="27"/>
      <c r="G1182" s="27"/>
      <c r="H1182" s="27"/>
      <c r="I1182" s="27"/>
      <c r="J1182" s="27"/>
      <c r="K1182" s="25"/>
      <c r="N1182" t="str">
        <f xml:space="preserve">  N1181 &amp; " degrees this time"</f>
        <v>18 degrees this time</v>
      </c>
    </row>
    <row r="1183" spans="1:16" ht="15.75" customHeight="1" x14ac:dyDescent="0.35">
      <c r="B1183" s="20" t="s">
        <v>252</v>
      </c>
      <c r="C1183" s="27">
        <v>0.9</v>
      </c>
      <c r="D1183" s="27">
        <v>0.7</v>
      </c>
      <c r="E1183" s="27">
        <v>0.6</v>
      </c>
      <c r="F1183" s="27"/>
      <c r="G1183" s="27"/>
      <c r="H1183" s="27"/>
      <c r="I1183" s="27"/>
      <c r="J1183" s="27"/>
      <c r="K1183" s="27"/>
    </row>
    <row r="1184" spans="1:16" ht="15.75" customHeight="1" x14ac:dyDescent="0.35">
      <c r="B1184" s="20"/>
      <c r="D1184" s="11"/>
      <c r="E1184" s="11"/>
      <c r="F1184" s="28"/>
      <c r="H1184" s="1"/>
    </row>
    <row r="1185" spans="1:16" ht="15.75" customHeight="1" x14ac:dyDescent="0.35">
      <c r="B1185" s="1" t="s">
        <v>262</v>
      </c>
      <c r="F1185" t="s">
        <v>263</v>
      </c>
      <c r="G1185" s="1"/>
      <c r="K1185" s="12"/>
      <c r="L1185" s="9"/>
      <c r="M1185" s="9"/>
    </row>
    <row r="1186" spans="1:16" ht="15.75" customHeight="1" x14ac:dyDescent="0.35">
      <c r="B1186" s="20" t="s">
        <v>264</v>
      </c>
      <c r="D1186" s="29"/>
      <c r="F1186" t="s">
        <v>265</v>
      </c>
      <c r="G1186" s="1"/>
      <c r="H1186" s="1"/>
      <c r="K1186" s="9" t="s">
        <v>266</v>
      </c>
      <c r="L1186" s="9"/>
      <c r="M1186" s="9"/>
    </row>
    <row r="1187" spans="1:16" ht="15.75" customHeight="1" x14ac:dyDescent="0.35">
      <c r="B1187" s="20" t="s">
        <v>267</v>
      </c>
      <c r="F1187" t="s">
        <v>268</v>
      </c>
      <c r="G1187" s="1"/>
      <c r="H1187" s="1"/>
      <c r="K1187" s="9" t="s">
        <v>254</v>
      </c>
      <c r="L1187" s="9"/>
      <c r="M1187" s="9"/>
    </row>
    <row r="1188" spans="1:16" ht="15.75" customHeight="1" x14ac:dyDescent="0.35">
      <c r="B1188" s="9"/>
      <c r="C1188" s="9"/>
      <c r="D1188" s="9"/>
      <c r="E1188" s="9"/>
      <c r="F1188" s="12"/>
      <c r="G1188" s="12"/>
      <c r="H1188" s="12"/>
      <c r="I1188" s="12"/>
      <c r="J1188" s="12"/>
      <c r="K1188" s="12"/>
      <c r="L1188" s="1"/>
    </row>
    <row r="1189" spans="1:16" ht="15.75" customHeight="1" x14ac:dyDescent="0.35">
      <c r="B1189" s="13"/>
      <c r="C1189" s="13"/>
      <c r="D1189" s="15"/>
      <c r="H1189" s="14" t="s">
        <v>255</v>
      </c>
    </row>
    <row r="1190" spans="1:16" x14ac:dyDescent="0.35">
      <c r="B1190" s="13" t="s">
        <v>5</v>
      </c>
      <c r="C1190" s="13" t="s">
        <v>1</v>
      </c>
      <c r="D1190" s="15" t="str">
        <f>VLOOKUP(A1191,Inventory!$A$4:$K$1139,7)</f>
        <v xml:space="preserve">Sweet Marias                       </v>
      </c>
      <c r="F1190" s="13" t="s">
        <v>235</v>
      </c>
      <c r="G1190" s="16"/>
      <c r="L1190" s="17"/>
      <c r="M1190" s="17"/>
    </row>
    <row r="1191" spans="1:16" x14ac:dyDescent="0.35">
      <c r="A1191">
        <v>158</v>
      </c>
      <c r="B1191" s="5">
        <v>44990</v>
      </c>
      <c r="C1191" s="15" t="str">
        <f>VLOOKUP(A1191,Inventory!$A$4:$K$1139,2)</f>
        <v>Ethiopia Organic Sidama Keramo 2020</v>
      </c>
      <c r="E1191" s="11"/>
      <c r="F1191" s="31" t="s">
        <v>291</v>
      </c>
      <c r="G1191" s="2" t="s">
        <v>286</v>
      </c>
      <c r="L1191" s="17"/>
      <c r="M1191" s="17"/>
      <c r="P1191" s="8"/>
    </row>
    <row r="1192" spans="1:16" x14ac:dyDescent="0.35">
      <c r="D1192" s="11"/>
      <c r="E1192" s="11"/>
      <c r="G1192" s="16"/>
      <c r="K1192" s="2"/>
      <c r="L1192" s="19"/>
      <c r="M1192" s="19"/>
    </row>
    <row r="1193" spans="1:16" x14ac:dyDescent="0.35">
      <c r="B1193" s="20"/>
      <c r="C1193" s="11" t="s">
        <v>240</v>
      </c>
      <c r="D1193" s="11" t="s">
        <v>272</v>
      </c>
      <c r="E1193" s="11">
        <v>361</v>
      </c>
      <c r="F1193" s="11">
        <v>366</v>
      </c>
      <c r="G1193" s="11">
        <v>373</v>
      </c>
      <c r="H1193" s="11">
        <v>382</v>
      </c>
      <c r="I1193" s="11"/>
      <c r="J1193" s="11"/>
      <c r="K1193" s="11"/>
      <c r="L1193" s="11"/>
    </row>
    <row r="1194" spans="1:16" ht="15.75" customHeight="1" x14ac:dyDescent="0.35">
      <c r="B1194" s="20" t="s">
        <v>242</v>
      </c>
      <c r="C1194" s="30"/>
      <c r="D1194" s="30"/>
      <c r="E1194" s="23" t="s">
        <v>244</v>
      </c>
      <c r="F1194" s="23" t="s">
        <v>245</v>
      </c>
      <c r="G1194" s="23" t="s">
        <v>246</v>
      </c>
      <c r="H1194" s="23" t="s">
        <v>247</v>
      </c>
      <c r="O1194" s="4"/>
    </row>
    <row r="1195" spans="1:16" ht="1" customHeight="1" x14ac:dyDescent="0.35">
      <c r="B1195" s="24" t="s">
        <v>249</v>
      </c>
      <c r="C1195" s="25"/>
      <c r="D1195" s="25"/>
      <c r="E1195" s="25"/>
      <c r="F1195" s="25"/>
      <c r="G1195" s="25"/>
      <c r="H1195" s="25"/>
      <c r="O1195" t="e">
        <f>(O1193-3*O1192)/O1194</f>
        <v>#DIV/0!</v>
      </c>
    </row>
    <row r="1196" spans="1:16" ht="15.75" customHeight="1" x14ac:dyDescent="0.35">
      <c r="B1196" s="20" t="s">
        <v>250</v>
      </c>
      <c r="C1196" s="26">
        <v>0.18402777777777779</v>
      </c>
      <c r="D1196" s="26">
        <v>0.26041666666666669</v>
      </c>
      <c r="E1196" s="26">
        <v>0.3298611111111111</v>
      </c>
      <c r="F1196" s="26">
        <f>E1196+'Lookup Tables'!$N$1</f>
        <v>0.35069444444444442</v>
      </c>
      <c r="G1196" s="26">
        <f>F1196+'Lookup Tables'!$N$1</f>
        <v>0.37152777777777773</v>
      </c>
      <c r="H1196" s="26">
        <f>G1196+'Lookup Tables'!$N$1</f>
        <v>0.39236111111111105</v>
      </c>
      <c r="N1196">
        <f>MAX(F1193:M1193)-O1196</f>
        <v>21</v>
      </c>
      <c r="O1196" t="str">
        <f>RIGHT(E1193,3)</f>
        <v>361</v>
      </c>
    </row>
    <row r="1197" spans="1:16" ht="15.75" customHeight="1" x14ac:dyDescent="0.35">
      <c r="B1197" s="20" t="s">
        <v>251</v>
      </c>
      <c r="C1197" s="27">
        <v>0.2</v>
      </c>
      <c r="D1197" s="27">
        <v>0.5</v>
      </c>
      <c r="E1197" s="27"/>
      <c r="F1197" s="27"/>
      <c r="G1197" s="27"/>
      <c r="H1197" s="27"/>
      <c r="N1197" t="str">
        <f xml:space="preserve">  N1196 &amp; " degrees this time"</f>
        <v>21 degrees this time</v>
      </c>
    </row>
    <row r="1198" spans="1:16" ht="15.75" customHeight="1" x14ac:dyDescent="0.35">
      <c r="B1198" s="20" t="s">
        <v>252</v>
      </c>
      <c r="C1198" s="27">
        <v>0.9</v>
      </c>
      <c r="D1198" s="27">
        <v>0.8</v>
      </c>
      <c r="E1198" s="27"/>
      <c r="F1198" s="27">
        <v>0.5</v>
      </c>
      <c r="G1198" s="27" t="s">
        <v>274</v>
      </c>
      <c r="H1198" s="27" t="s">
        <v>275</v>
      </c>
    </row>
    <row r="1199" spans="1:16" ht="15.75" customHeight="1" x14ac:dyDescent="0.35">
      <c r="B1199" s="20"/>
      <c r="F1199" s="1"/>
    </row>
    <row r="1200" spans="1:16" ht="15.75" customHeight="1" x14ac:dyDescent="0.35">
      <c r="B1200" s="20"/>
      <c r="G1200" s="1" t="s">
        <v>351</v>
      </c>
      <c r="K1200" s="32" t="s">
        <v>369</v>
      </c>
      <c r="L1200" s="9"/>
      <c r="M1200" s="9"/>
    </row>
    <row r="1201" spans="1:16" ht="15.75" customHeight="1" x14ac:dyDescent="0.35">
      <c r="B1201" s="20"/>
      <c r="G1201" s="1"/>
      <c r="H1201" s="1"/>
      <c r="K1201" s="32"/>
      <c r="L1201" s="9"/>
      <c r="M1201" s="9"/>
    </row>
    <row r="1202" spans="1:16" ht="15.75" customHeight="1" x14ac:dyDescent="0.35">
      <c r="B1202" s="20"/>
      <c r="G1202" s="1"/>
      <c r="H1202" s="1"/>
      <c r="K1202" s="9" t="s">
        <v>300</v>
      </c>
      <c r="L1202" s="9"/>
      <c r="M1202" s="9"/>
    </row>
    <row r="1203" spans="1:16" ht="15.75" customHeight="1" x14ac:dyDescent="0.35">
      <c r="B1203" s="9"/>
      <c r="C1203" s="9"/>
      <c r="D1203" s="9"/>
      <c r="E1203" s="9"/>
      <c r="F1203" s="12"/>
      <c r="G1203" s="12"/>
      <c r="H1203" s="12"/>
      <c r="I1203" s="12"/>
      <c r="J1203" s="12"/>
      <c r="K1203" s="12"/>
      <c r="L1203" s="1"/>
    </row>
    <row r="1204" spans="1:16" ht="15.75" customHeight="1" x14ac:dyDescent="0.35">
      <c r="B1204" s="13"/>
      <c r="C1204" s="13"/>
      <c r="D1204" s="15"/>
      <c r="H1204" s="14"/>
    </row>
    <row r="1205" spans="1:16" x14ac:dyDescent="0.35">
      <c r="B1205" s="13" t="s">
        <v>5</v>
      </c>
      <c r="C1205" s="13" t="s">
        <v>1</v>
      </c>
      <c r="D1205" s="15" t="str">
        <f>VLOOKUP(A1206,Inventory!$A$4:$K$1139,7)</f>
        <v>Burman Coffee</v>
      </c>
      <c r="F1205" s="13" t="s">
        <v>235</v>
      </c>
      <c r="G1205" s="16"/>
      <c r="H1205" s="14"/>
      <c r="L1205" s="17"/>
      <c r="M1205" s="17"/>
    </row>
    <row r="1206" spans="1:16" x14ac:dyDescent="0.35">
      <c r="A1206">
        <v>165</v>
      </c>
      <c r="B1206" s="5">
        <v>44990</v>
      </c>
      <c r="C1206" s="15" t="str">
        <f>VLOOKUP(A1206,Inventory!$A$4:$K$1139,2)</f>
        <v>Ethiopian Guji Natural - Shakiso 2020</v>
      </c>
      <c r="F1206" s="34" t="s">
        <v>279</v>
      </c>
      <c r="G1206" s="2" t="s">
        <v>286</v>
      </c>
      <c r="L1206" s="17"/>
      <c r="M1206" s="17"/>
      <c r="P1206" s="8"/>
    </row>
    <row r="1207" spans="1:16" x14ac:dyDescent="0.35">
      <c r="F1207" s="11"/>
      <c r="G1207" s="11"/>
      <c r="H1207" s="11"/>
      <c r="I1207" s="11"/>
      <c r="J1207" s="11"/>
      <c r="K1207" s="11"/>
      <c r="L1207" s="28"/>
      <c r="M1207" s="36"/>
    </row>
    <row r="1208" spans="1:16" x14ac:dyDescent="0.35">
      <c r="B1208" s="20"/>
      <c r="C1208" s="11" t="s">
        <v>240</v>
      </c>
      <c r="D1208" s="11" t="s">
        <v>272</v>
      </c>
      <c r="E1208" s="11">
        <v>376</v>
      </c>
      <c r="F1208" s="11">
        <v>386</v>
      </c>
      <c r="G1208" s="11">
        <v>396</v>
      </c>
      <c r="H1208" s="11">
        <v>402</v>
      </c>
      <c r="I1208" s="11"/>
      <c r="J1208" s="11"/>
      <c r="K1208" s="11"/>
      <c r="L1208" s="28"/>
    </row>
    <row r="1209" spans="1:16" ht="15.75" customHeight="1" x14ac:dyDescent="0.35">
      <c r="B1209" s="20" t="s">
        <v>242</v>
      </c>
      <c r="C1209" s="30"/>
      <c r="D1209" s="30"/>
      <c r="E1209" s="23" t="s">
        <v>244</v>
      </c>
      <c r="F1209" s="23" t="s">
        <v>245</v>
      </c>
      <c r="G1209" s="23" t="s">
        <v>246</v>
      </c>
      <c r="H1209" s="23" t="s">
        <v>273</v>
      </c>
      <c r="O1209" s="4"/>
    </row>
    <row r="1210" spans="1:16" ht="1" customHeight="1" x14ac:dyDescent="0.35">
      <c r="B1210" s="24" t="s">
        <v>249</v>
      </c>
      <c r="C1210" s="25"/>
      <c r="D1210" s="25"/>
      <c r="E1210" s="25"/>
      <c r="F1210" s="25"/>
      <c r="G1210" s="25"/>
      <c r="H1210" s="23" t="s">
        <v>247</v>
      </c>
      <c r="O1210" t="e">
        <f>(O1208-3*O1207)/O1209</f>
        <v>#DIV/0!</v>
      </c>
    </row>
    <row r="1211" spans="1:16" ht="15.75" customHeight="1" x14ac:dyDescent="0.35">
      <c r="B1211" s="20" t="s">
        <v>250</v>
      </c>
      <c r="C1211" s="26">
        <v>0.20833333333333334</v>
      </c>
      <c r="D1211" s="26">
        <v>0.3125</v>
      </c>
      <c r="E1211" s="26">
        <v>0.39930555555555558</v>
      </c>
      <c r="F1211" s="26">
        <f>E1211+'Lookup Tables'!$N$1</f>
        <v>0.4201388888888889</v>
      </c>
      <c r="G1211" s="26">
        <f>F1211+'Lookup Tables'!$N$1</f>
        <v>0.44097222222222221</v>
      </c>
      <c r="H1211" s="26">
        <f>G1211+'Lookup Tables'!$S$1</f>
        <v>0.4513888888888889</v>
      </c>
      <c r="N1211">
        <f>MAX(F1208:M1208)-O1211</f>
        <v>26</v>
      </c>
      <c r="O1211" t="str">
        <f>RIGHT(E1208,3)</f>
        <v>376</v>
      </c>
    </row>
    <row r="1212" spans="1:16" ht="15.75" customHeight="1" x14ac:dyDescent="0.35">
      <c r="B1212" s="20" t="s">
        <v>251</v>
      </c>
      <c r="C1212" s="27">
        <v>0.2</v>
      </c>
      <c r="D1212" s="27">
        <v>0.5</v>
      </c>
      <c r="E1212" s="27"/>
      <c r="F1212" s="27"/>
      <c r="G1212" s="27"/>
      <c r="H1212" s="25"/>
      <c r="N1212" t="str">
        <f xml:space="preserve">  N1211 &amp; " degrees this time"</f>
        <v>26 degrees this time</v>
      </c>
    </row>
    <row r="1213" spans="1:16" ht="15.75" customHeight="1" x14ac:dyDescent="0.35">
      <c r="B1213" s="20" t="s">
        <v>252</v>
      </c>
      <c r="C1213" s="27">
        <v>0.9</v>
      </c>
      <c r="D1213" s="27">
        <v>0.9</v>
      </c>
      <c r="E1213" s="27">
        <v>0.7</v>
      </c>
      <c r="F1213" s="27">
        <v>0.5</v>
      </c>
      <c r="G1213" s="27"/>
      <c r="H1213" s="27" t="s">
        <v>275</v>
      </c>
    </row>
    <row r="1214" spans="1:16" ht="15.75" customHeight="1" x14ac:dyDescent="0.35">
      <c r="B1214" s="20"/>
      <c r="C1214" s="30"/>
      <c r="D1214" s="11"/>
      <c r="E1214" s="1"/>
      <c r="F1214" s="11"/>
      <c r="G1214" s="11"/>
      <c r="H1214" s="11"/>
      <c r="J1214" s="37"/>
      <c r="K1214" s="32" t="s">
        <v>376</v>
      </c>
      <c r="L1214" s="9"/>
      <c r="M1214" s="9"/>
    </row>
    <row r="1215" spans="1:16" ht="15.75" customHeight="1" x14ac:dyDescent="0.35">
      <c r="B1215" s="38"/>
      <c r="D1215" s="11"/>
      <c r="E1215" s="11"/>
      <c r="F1215" s="11"/>
      <c r="G1215" s="1" t="s">
        <v>281</v>
      </c>
      <c r="K1215" s="32" t="s">
        <v>328</v>
      </c>
      <c r="L1215" s="9"/>
      <c r="M1215" s="9"/>
    </row>
    <row r="1216" spans="1:16" ht="15.75" customHeight="1" x14ac:dyDescent="0.35">
      <c r="B1216" s="20"/>
      <c r="G1216" s="32" t="s">
        <v>328</v>
      </c>
      <c r="H1216" s="1"/>
      <c r="K1216" s="32"/>
      <c r="L1216" s="9"/>
      <c r="M1216" s="9"/>
    </row>
    <row r="1217" spans="1:16" ht="15.75" customHeight="1" x14ac:dyDescent="0.35">
      <c r="B1217" s="20"/>
      <c r="G1217" s="1"/>
      <c r="H1217" s="1"/>
      <c r="K1217" s="9" t="s">
        <v>254</v>
      </c>
      <c r="L1217" s="9"/>
      <c r="M1217" s="9"/>
    </row>
    <row r="1218" spans="1:16" ht="15.75" customHeight="1" x14ac:dyDescent="0.35">
      <c r="B1218" s="9"/>
      <c r="C1218" s="9"/>
      <c r="D1218" s="9"/>
      <c r="E1218" s="9"/>
      <c r="F1218" s="12"/>
      <c r="G1218" s="12"/>
      <c r="H1218" s="12"/>
      <c r="I1218" s="12"/>
      <c r="J1218" s="12"/>
      <c r="K1218" s="12"/>
      <c r="L1218" s="1"/>
    </row>
    <row r="1219" spans="1:16" ht="15.75" customHeight="1" x14ac:dyDescent="0.35">
      <c r="B1219" s="13"/>
      <c r="C1219" s="13"/>
      <c r="D1219" s="15"/>
      <c r="F1219" s="33"/>
    </row>
    <row r="1220" spans="1:16" x14ac:dyDescent="0.35">
      <c r="B1220" s="13" t="s">
        <v>5</v>
      </c>
      <c r="C1220" s="13" t="s">
        <v>1</v>
      </c>
      <c r="D1220" s="15" t="str">
        <f>VLOOKUP(A1221,Inventory!$A$4:$K$1139,7)</f>
        <v xml:space="preserve">Klatch                             </v>
      </c>
      <c r="F1220" s="13" t="s">
        <v>235</v>
      </c>
      <c r="G1220" s="16"/>
      <c r="L1220" s="17"/>
      <c r="M1220" s="17"/>
    </row>
    <row r="1221" spans="1:16" x14ac:dyDescent="0.35">
      <c r="A1221">
        <v>168</v>
      </c>
      <c r="B1221" s="5">
        <v>44990</v>
      </c>
      <c r="C1221" s="15" t="str">
        <f>VLOOKUP(A1221,Inventory!$A$4:$K$1139,2)</f>
        <v>Ethiopia Yirgacheffe BedHatu Washed 2021</v>
      </c>
      <c r="F1221" s="31" t="s">
        <v>291</v>
      </c>
      <c r="G1221" s="2" t="s">
        <v>286</v>
      </c>
      <c r="L1221" s="17"/>
      <c r="M1221" s="17"/>
      <c r="P1221" s="8"/>
    </row>
    <row r="1222" spans="1:16" x14ac:dyDescent="0.35">
      <c r="G1222" s="16"/>
      <c r="L1222" s="19"/>
      <c r="M1222" s="19"/>
    </row>
    <row r="1223" spans="1:16" x14ac:dyDescent="0.35">
      <c r="B1223" s="20"/>
      <c r="C1223" s="11" t="s">
        <v>240</v>
      </c>
      <c r="D1223" s="11" t="s">
        <v>241</v>
      </c>
      <c r="E1223" s="11">
        <v>368</v>
      </c>
      <c r="F1223" s="11">
        <v>375</v>
      </c>
      <c r="G1223" s="11">
        <v>381</v>
      </c>
      <c r="H1223" s="11">
        <v>388</v>
      </c>
      <c r="I1223" s="11">
        <v>392</v>
      </c>
      <c r="J1223" s="11">
        <v>396</v>
      </c>
      <c r="K1223" s="11"/>
      <c r="L1223" s="11"/>
    </row>
    <row r="1224" spans="1:16" ht="15.75" customHeight="1" x14ac:dyDescent="0.35">
      <c r="B1224" s="20" t="s">
        <v>242</v>
      </c>
      <c r="C1224" s="30"/>
      <c r="D1224" s="30"/>
      <c r="E1224" s="23" t="s">
        <v>244</v>
      </c>
      <c r="F1224" s="23" t="s">
        <v>245</v>
      </c>
      <c r="G1224" s="23" t="s">
        <v>246</v>
      </c>
      <c r="H1224" s="23" t="s">
        <v>247</v>
      </c>
      <c r="I1224" s="23" t="s">
        <v>248</v>
      </c>
      <c r="J1224" s="23" t="s">
        <v>259</v>
      </c>
      <c r="O1224" s="4"/>
    </row>
    <row r="1225" spans="1:16" ht="1" customHeight="1" x14ac:dyDescent="0.35">
      <c r="B1225" s="24" t="s">
        <v>249</v>
      </c>
      <c r="C1225" s="25"/>
      <c r="D1225" s="25"/>
      <c r="E1225" s="25"/>
      <c r="F1225" s="25"/>
      <c r="G1225" s="25"/>
      <c r="H1225" s="25"/>
      <c r="I1225" s="25"/>
      <c r="J1225" s="25"/>
      <c r="O1225" t="e">
        <f>(O1223-3*O1222)/O1224</f>
        <v>#DIV/0!</v>
      </c>
    </row>
    <row r="1226" spans="1:16" ht="15.75" customHeight="1" x14ac:dyDescent="0.35">
      <c r="B1226" s="20" t="s">
        <v>250</v>
      </c>
      <c r="C1226" s="26">
        <v>0.20833333333333334</v>
      </c>
      <c r="D1226" s="26">
        <v>0.29166666666666669</v>
      </c>
      <c r="E1226" s="26">
        <v>0.38541666666666669</v>
      </c>
      <c r="F1226" s="26">
        <f>E1226+'Lookup Tables'!$N$1</f>
        <v>0.40625</v>
      </c>
      <c r="G1226" s="26">
        <f>F1226+'Lookup Tables'!$N$1</f>
        <v>0.42708333333333331</v>
      </c>
      <c r="H1226" s="26">
        <f>G1226+'Lookup Tables'!$N$1</f>
        <v>0.44791666666666663</v>
      </c>
      <c r="I1226" s="26">
        <f>H1226+'Lookup Tables'!$S$1</f>
        <v>0.45833333333333331</v>
      </c>
      <c r="J1226" s="26">
        <f>I1226+'Lookup Tables'!$S$1</f>
        <v>0.46875</v>
      </c>
      <c r="N1226">
        <f>MAX(F1223:M1223)-O1226</f>
        <v>28</v>
      </c>
      <c r="O1226" t="str">
        <f>RIGHT(E1223,3)</f>
        <v>368</v>
      </c>
    </row>
    <row r="1227" spans="1:16" ht="15.75" customHeight="1" x14ac:dyDescent="0.35">
      <c r="B1227" s="20" t="s">
        <v>251</v>
      </c>
      <c r="C1227" s="27">
        <v>0.2</v>
      </c>
      <c r="D1227" s="27">
        <v>0.5</v>
      </c>
      <c r="E1227" s="27"/>
      <c r="F1227" s="27"/>
      <c r="G1227" s="27"/>
      <c r="H1227" s="25"/>
      <c r="I1227" s="27"/>
      <c r="J1227" s="27"/>
      <c r="N1227" t="str">
        <f xml:space="preserve">  N1226 &amp; " degrees this time"</f>
        <v>28 degrees this time</v>
      </c>
    </row>
    <row r="1228" spans="1:16" ht="15.75" customHeight="1" x14ac:dyDescent="0.35">
      <c r="B1228" s="20" t="s">
        <v>252</v>
      </c>
      <c r="C1228" s="27">
        <v>0.9</v>
      </c>
      <c r="D1228" s="27">
        <v>0.8</v>
      </c>
      <c r="E1228" s="27"/>
      <c r="F1228" s="27"/>
      <c r="G1228" s="27">
        <v>0.5</v>
      </c>
      <c r="H1228" s="27"/>
      <c r="I1228" s="27" t="s">
        <v>275</v>
      </c>
      <c r="J1228" s="27" t="s">
        <v>275</v>
      </c>
    </row>
    <row r="1229" spans="1:16" ht="15.75" customHeight="1" x14ac:dyDescent="0.35">
      <c r="B1229" s="20"/>
      <c r="C1229" s="30"/>
      <c r="D1229" s="11"/>
      <c r="E1229" s="1"/>
      <c r="F1229" s="11"/>
      <c r="G1229" s="11"/>
      <c r="H1229" s="11"/>
    </row>
    <row r="1230" spans="1:16" ht="15.75" customHeight="1" x14ac:dyDescent="0.35">
      <c r="B1230" s="38"/>
      <c r="D1230" s="11"/>
      <c r="E1230" s="11"/>
      <c r="F1230" s="11"/>
      <c r="G1230" s="1" t="s">
        <v>292</v>
      </c>
      <c r="K1230" s="9" t="s">
        <v>293</v>
      </c>
      <c r="L1230" s="9"/>
      <c r="M1230" s="9"/>
    </row>
    <row r="1231" spans="1:16" ht="15.75" customHeight="1" x14ac:dyDescent="0.35">
      <c r="B1231" s="20"/>
      <c r="G1231" s="1"/>
      <c r="H1231" s="1"/>
      <c r="K1231" s="32"/>
      <c r="L1231" s="9"/>
      <c r="M1231" s="9"/>
    </row>
    <row r="1232" spans="1:16" ht="15.75" customHeight="1" x14ac:dyDescent="0.35">
      <c r="B1232" s="20"/>
      <c r="G1232" s="1"/>
      <c r="H1232" s="1"/>
      <c r="K1232" s="9" t="s">
        <v>254</v>
      </c>
      <c r="L1232" s="9"/>
      <c r="M1232" s="9"/>
    </row>
    <row r="1233" spans="1:16" ht="15.75" customHeight="1" x14ac:dyDescent="0.35">
      <c r="B1233" s="9"/>
      <c r="C1233" s="9"/>
      <c r="D1233" s="9"/>
      <c r="E1233" s="9"/>
      <c r="F1233" s="12"/>
      <c r="G1233" s="12"/>
      <c r="H1233" s="12"/>
      <c r="I1233" s="12"/>
      <c r="J1233" s="12"/>
      <c r="K1233" s="12"/>
      <c r="L1233" s="1"/>
    </row>
    <row r="1234" spans="1:16" ht="15.75" customHeight="1" x14ac:dyDescent="0.35">
      <c r="B1234" s="13"/>
      <c r="C1234" s="13"/>
      <c r="D1234" s="15"/>
      <c r="F1234" s="33" t="s">
        <v>341</v>
      </c>
      <c r="G1234" s="16"/>
      <c r="H1234" s="14" t="s">
        <v>255</v>
      </c>
      <c r="I1234" s="14"/>
      <c r="L1234" s="2"/>
    </row>
    <row r="1235" spans="1:16" x14ac:dyDescent="0.35">
      <c r="B1235" s="13" t="s">
        <v>5</v>
      </c>
      <c r="C1235" s="13" t="s">
        <v>1</v>
      </c>
      <c r="D1235" s="15" t="str">
        <f>VLOOKUP(A1236,Inventory!$A$4:$K$1139,7)</f>
        <v>Royal coffee</v>
      </c>
      <c r="F1235" s="13" t="s">
        <v>235</v>
      </c>
      <c r="G1235" s="16"/>
      <c r="L1235" s="17"/>
      <c r="M1235" s="17"/>
    </row>
    <row r="1236" spans="1:16" x14ac:dyDescent="0.35">
      <c r="A1236">
        <v>141</v>
      </c>
      <c r="B1236" s="5">
        <v>44990</v>
      </c>
      <c r="C1236" s="15" t="str">
        <f>VLOOKUP(A1236,Inventory!$A$4:$K$1139,2)</f>
        <v>Yemen Al-Haymah Rooftop Raised Bed Natural 2017</v>
      </c>
      <c r="F1236" s="31" t="s">
        <v>291</v>
      </c>
      <c r="G1236" s="2" t="s">
        <v>286</v>
      </c>
      <c r="L1236" s="17"/>
      <c r="M1236" s="17"/>
      <c r="P1236" s="8"/>
    </row>
    <row r="1237" spans="1:16" x14ac:dyDescent="0.35">
      <c r="B1237" t="s">
        <v>16</v>
      </c>
      <c r="G1237" s="16"/>
      <c r="K1237" s="2"/>
      <c r="L1237" s="19"/>
      <c r="M1237" s="19"/>
    </row>
    <row r="1238" spans="1:16" x14ac:dyDescent="0.35">
      <c r="B1238" s="20"/>
      <c r="C1238" s="11" t="s">
        <v>240</v>
      </c>
      <c r="D1238" s="11" t="s">
        <v>272</v>
      </c>
      <c r="E1238" s="11">
        <v>370</v>
      </c>
      <c r="F1238" s="11">
        <v>378</v>
      </c>
      <c r="G1238" s="11">
        <v>386</v>
      </c>
      <c r="H1238" s="11">
        <v>392</v>
      </c>
      <c r="I1238" s="11" t="s">
        <v>313</v>
      </c>
      <c r="J1238" s="11"/>
      <c r="K1238" s="11"/>
      <c r="L1238" s="11"/>
    </row>
    <row r="1239" spans="1:16" ht="15.75" customHeight="1" x14ac:dyDescent="0.35">
      <c r="B1239" s="20" t="s">
        <v>242</v>
      </c>
      <c r="C1239" s="21"/>
      <c r="D1239" s="22" t="s">
        <v>294</v>
      </c>
      <c r="E1239" s="23" t="s">
        <v>244</v>
      </c>
      <c r="F1239" s="23" t="s">
        <v>245</v>
      </c>
      <c r="G1239" s="23" t="s">
        <v>246</v>
      </c>
      <c r="H1239" s="23" t="s">
        <v>273</v>
      </c>
      <c r="I1239" s="23" t="s">
        <v>247</v>
      </c>
      <c r="O1239" s="4"/>
    </row>
    <row r="1240" spans="1:16" ht="1" customHeight="1" x14ac:dyDescent="0.35">
      <c r="B1240" s="24" t="s">
        <v>249</v>
      </c>
      <c r="C1240" s="25">
        <v>320</v>
      </c>
      <c r="D1240" s="25">
        <v>350</v>
      </c>
      <c r="E1240" s="25"/>
      <c r="F1240" s="25"/>
      <c r="G1240" s="25"/>
      <c r="H1240" s="23" t="s">
        <v>247</v>
      </c>
      <c r="I1240" s="25"/>
      <c r="O1240" t="e">
        <f>(O1238-3*O1237)/O1239</f>
        <v>#DIV/0!</v>
      </c>
    </row>
    <row r="1241" spans="1:16" ht="15.75" customHeight="1" x14ac:dyDescent="0.35">
      <c r="B1241" s="20" t="s">
        <v>250</v>
      </c>
      <c r="C1241" s="26">
        <v>0.19791666666666666</v>
      </c>
      <c r="D1241" s="26">
        <v>0.28819444444444448</v>
      </c>
      <c r="E1241" s="26">
        <v>0.36805555555555558</v>
      </c>
      <c r="F1241" s="26">
        <f>E1241+'Lookup Tables'!$N$1</f>
        <v>0.3888888888888889</v>
      </c>
      <c r="G1241" s="26">
        <f>F1241+'Lookup Tables'!$N$1</f>
        <v>0.40972222222222221</v>
      </c>
      <c r="H1241" s="26">
        <f>G1241+'Lookup Tables'!$S$1</f>
        <v>0.4201388888888889</v>
      </c>
      <c r="I1241" s="26">
        <f>H1241+'Lookup Tables'!$S$1</f>
        <v>0.43055555555555558</v>
      </c>
      <c r="N1241">
        <f>MAX(F1238:M1238)-O1241</f>
        <v>22</v>
      </c>
      <c r="O1241" t="str">
        <f>RIGHT(E1238,3)</f>
        <v>370</v>
      </c>
    </row>
    <row r="1242" spans="1:16" ht="15.75" customHeight="1" x14ac:dyDescent="0.35">
      <c r="B1242" s="20" t="s">
        <v>251</v>
      </c>
      <c r="C1242" s="27">
        <v>0.2</v>
      </c>
      <c r="D1242" s="27">
        <v>0.5</v>
      </c>
      <c r="E1242" s="27"/>
      <c r="F1242" s="27"/>
      <c r="G1242" s="27">
        <v>0.25</v>
      </c>
      <c r="H1242" s="27"/>
      <c r="I1242" s="27"/>
      <c r="N1242" t="str">
        <f xml:space="preserve">  N1241 &amp; " degrees this time"</f>
        <v>22 degrees this time</v>
      </c>
    </row>
    <row r="1243" spans="1:16" ht="15.75" customHeight="1" x14ac:dyDescent="0.35">
      <c r="B1243" s="20" t="s">
        <v>252</v>
      </c>
      <c r="C1243" s="27">
        <v>0.9</v>
      </c>
      <c r="D1243" s="27">
        <v>0.7</v>
      </c>
      <c r="E1243" s="27">
        <v>0.6</v>
      </c>
      <c r="F1243" s="27"/>
      <c r="G1243" s="27"/>
      <c r="H1243" s="27"/>
      <c r="I1243" s="27" t="s">
        <v>275</v>
      </c>
    </row>
    <row r="1244" spans="1:16" ht="15.75" customHeight="1" x14ac:dyDescent="0.35">
      <c r="B1244" s="20"/>
      <c r="D1244" s="11"/>
      <c r="E1244" s="40"/>
      <c r="F1244" s="11"/>
      <c r="G1244" s="11"/>
    </row>
    <row r="1245" spans="1:16" ht="15.75" customHeight="1" x14ac:dyDescent="0.35">
      <c r="B1245" s="38"/>
      <c r="D1245" s="15"/>
      <c r="F1245" s="13"/>
      <c r="G1245" s="1" t="s">
        <v>296</v>
      </c>
      <c r="K1245" s="32" t="s">
        <v>377</v>
      </c>
      <c r="L1245" s="9"/>
      <c r="M1245" s="9"/>
    </row>
    <row r="1246" spans="1:16" ht="15.75" customHeight="1" x14ac:dyDescent="0.35">
      <c r="B1246" s="20"/>
      <c r="G1246" s="1"/>
      <c r="H1246" s="1"/>
      <c r="K1246" s="9"/>
      <c r="L1246" s="9"/>
      <c r="M1246" s="9"/>
    </row>
    <row r="1247" spans="1:16" ht="15.75" customHeight="1" x14ac:dyDescent="0.35">
      <c r="B1247" s="20"/>
      <c r="G1247" s="1"/>
      <c r="H1247" s="1"/>
      <c r="K1247" s="9" t="s">
        <v>297</v>
      </c>
      <c r="L1247" s="9"/>
      <c r="M1247" s="9"/>
    </row>
    <row r="1248" spans="1:16" ht="15.75" customHeight="1" x14ac:dyDescent="0.35">
      <c r="B1248" s="9"/>
      <c r="C1248" s="9"/>
      <c r="D1248" s="9"/>
      <c r="E1248" s="9"/>
      <c r="F1248" s="12"/>
      <c r="G1248" s="12"/>
      <c r="H1248" s="12"/>
      <c r="I1248" s="12"/>
      <c r="J1248" s="12"/>
      <c r="K1248" s="12"/>
      <c r="L1248" s="1"/>
    </row>
    <row r="1249" spans="1:16" ht="15.75" customHeight="1" x14ac:dyDescent="0.35">
      <c r="B1249" s="13"/>
      <c r="C1249" s="13"/>
      <c r="D1249" s="15"/>
      <c r="G1249" s="15"/>
      <c r="H1249" s="14" t="s">
        <v>255</v>
      </c>
      <c r="I1249" s="1"/>
      <c r="J1249" s="2"/>
      <c r="K1249" s="2"/>
      <c r="L1249" s="8"/>
    </row>
    <row r="1250" spans="1:16" x14ac:dyDescent="0.35">
      <c r="B1250" s="13" t="s">
        <v>5</v>
      </c>
      <c r="C1250" s="13" t="s">
        <v>1</v>
      </c>
      <c r="D1250" s="15" t="str">
        <f>VLOOKUP(A1251,Inventory!$A$4:$K$1139,7)</f>
        <v xml:space="preserve">Klatch                             </v>
      </c>
      <c r="F1250" s="13" t="s">
        <v>235</v>
      </c>
      <c r="G1250" s="16"/>
      <c r="L1250" s="8"/>
      <c r="M1250" s="17"/>
    </row>
    <row r="1251" spans="1:16" x14ac:dyDescent="0.35">
      <c r="A1251">
        <v>167</v>
      </c>
      <c r="B1251" s="5">
        <v>44963</v>
      </c>
      <c r="C1251" s="15" t="str">
        <f>VLOOKUP(A1251,Inventory!$A$4:$K$1139,2)</f>
        <v>Uganda Sipi Falls Organic 2020</v>
      </c>
      <c r="E1251" s="11"/>
      <c r="F1251" s="31" t="s">
        <v>291</v>
      </c>
      <c r="G1251" s="2" t="s">
        <v>286</v>
      </c>
      <c r="M1251" s="17"/>
      <c r="P1251" s="8"/>
    </row>
    <row r="1252" spans="1:16" x14ac:dyDescent="0.35">
      <c r="D1252" s="11"/>
      <c r="E1252" s="11"/>
      <c r="G1252" s="16"/>
      <c r="L1252" s="19"/>
      <c r="M1252" s="19"/>
    </row>
    <row r="1253" spans="1:16" x14ac:dyDescent="0.35">
      <c r="B1253" s="20"/>
      <c r="C1253" s="11" t="s">
        <v>240</v>
      </c>
      <c r="D1253" s="11" t="s">
        <v>241</v>
      </c>
      <c r="E1253" s="11">
        <v>366</v>
      </c>
      <c r="F1253" s="11">
        <v>374</v>
      </c>
      <c r="G1253" s="11">
        <v>381</v>
      </c>
      <c r="H1253" s="11">
        <v>387</v>
      </c>
      <c r="I1253" s="11">
        <v>395</v>
      </c>
      <c r="J1253" s="11"/>
      <c r="K1253" s="11"/>
      <c r="L1253" s="11"/>
    </row>
    <row r="1254" spans="1:16" ht="15.75" customHeight="1" x14ac:dyDescent="0.35">
      <c r="B1254" s="20" t="s">
        <v>242</v>
      </c>
      <c r="C1254" s="30"/>
      <c r="D1254" s="30"/>
      <c r="E1254" s="23" t="s">
        <v>244</v>
      </c>
      <c r="F1254" s="23" t="s">
        <v>245</v>
      </c>
      <c r="G1254" s="23" t="s">
        <v>246</v>
      </c>
      <c r="H1254" s="23" t="s">
        <v>247</v>
      </c>
      <c r="I1254" s="23" t="s">
        <v>259</v>
      </c>
      <c r="O1254" s="4"/>
    </row>
    <row r="1255" spans="1:16" ht="1" customHeight="1" x14ac:dyDescent="0.35">
      <c r="B1255" s="24" t="s">
        <v>249</v>
      </c>
      <c r="C1255" s="25"/>
      <c r="D1255" s="25"/>
      <c r="E1255" s="25"/>
      <c r="F1255" s="25"/>
      <c r="G1255" s="25"/>
      <c r="H1255" s="25"/>
      <c r="I1255" s="25"/>
      <c r="O1255" t="e">
        <f>(O1253-3*O1252)/O1254</f>
        <v>#DIV/0!</v>
      </c>
    </row>
    <row r="1256" spans="1:16" ht="15.75" customHeight="1" x14ac:dyDescent="0.35">
      <c r="B1256" s="20" t="s">
        <v>250</v>
      </c>
      <c r="C1256" s="26">
        <v>0.20138888888888887</v>
      </c>
      <c r="D1256" s="26">
        <v>0.28472222222222221</v>
      </c>
      <c r="E1256" s="26">
        <v>0.36805555555555558</v>
      </c>
      <c r="F1256" s="26">
        <f>E1256+'Lookup Tables'!$N$1</f>
        <v>0.3888888888888889</v>
      </c>
      <c r="G1256" s="26">
        <f>F1256+'Lookup Tables'!$N$1</f>
        <v>0.40972222222222221</v>
      </c>
      <c r="H1256" s="26">
        <f>G1256+'Lookup Tables'!$N$1</f>
        <v>0.43055555555555552</v>
      </c>
      <c r="I1256" s="26">
        <f>H1256+'Lookup Tables'!$N$1</f>
        <v>0.45138888888888884</v>
      </c>
      <c r="N1256">
        <f>MAX(F1253:M1253)-O1256</f>
        <v>29</v>
      </c>
      <c r="O1256" t="str">
        <f>RIGHT(E1253,3)</f>
        <v>366</v>
      </c>
    </row>
    <row r="1257" spans="1:16" ht="15.75" customHeight="1" x14ac:dyDescent="0.35">
      <c r="B1257" s="20" t="s">
        <v>251</v>
      </c>
      <c r="C1257" s="27">
        <v>0.2</v>
      </c>
      <c r="D1257" s="27">
        <v>0.5</v>
      </c>
      <c r="E1257" s="27"/>
      <c r="F1257" s="27"/>
      <c r="G1257" s="27" t="s">
        <v>274</v>
      </c>
      <c r="H1257" s="25"/>
      <c r="I1257" s="27"/>
      <c r="N1257" t="str">
        <f xml:space="preserve">  N1256 &amp; " degrees this time"</f>
        <v>29 degrees this time</v>
      </c>
    </row>
    <row r="1258" spans="1:16" ht="15.75" customHeight="1" x14ac:dyDescent="0.35">
      <c r="B1258" s="20" t="s">
        <v>252</v>
      </c>
      <c r="C1258" s="27">
        <v>0.9</v>
      </c>
      <c r="D1258" s="27">
        <v>0.8</v>
      </c>
      <c r="E1258" s="27">
        <v>0.6</v>
      </c>
      <c r="F1258" s="27">
        <v>0.4</v>
      </c>
      <c r="G1258" s="27" t="s">
        <v>274</v>
      </c>
      <c r="H1258" s="27"/>
      <c r="I1258" s="27" t="s">
        <v>275</v>
      </c>
    </row>
    <row r="1259" spans="1:16" ht="15.75" customHeight="1" x14ac:dyDescent="0.35">
      <c r="B1259" s="20"/>
      <c r="D1259" s="11"/>
      <c r="E1259" s="11"/>
      <c r="F1259" s="11"/>
      <c r="H1259" s="35"/>
    </row>
    <row r="1260" spans="1:16" ht="15.75" customHeight="1" x14ac:dyDescent="0.35">
      <c r="B1260" s="20"/>
      <c r="G1260" s="1" t="s">
        <v>304</v>
      </c>
      <c r="K1260" s="32"/>
      <c r="L1260" s="9"/>
      <c r="M1260" s="9"/>
    </row>
    <row r="1261" spans="1:16" ht="15.75" customHeight="1" x14ac:dyDescent="0.35">
      <c r="B1261" s="20"/>
      <c r="G1261" s="1"/>
      <c r="H1261" s="1"/>
      <c r="K1261" s="32"/>
      <c r="L1261" s="9"/>
      <c r="M1261" s="9"/>
    </row>
    <row r="1262" spans="1:16" ht="15.75" customHeight="1" x14ac:dyDescent="0.35">
      <c r="B1262" s="20"/>
      <c r="G1262" s="1"/>
      <c r="H1262" s="1"/>
      <c r="K1262" s="9" t="s">
        <v>300</v>
      </c>
      <c r="L1262" s="9"/>
      <c r="M1262" s="9"/>
    </row>
    <row r="1263" spans="1:16" ht="15.75" customHeight="1" x14ac:dyDescent="0.35">
      <c r="B1263" s="9"/>
      <c r="C1263" s="9"/>
      <c r="D1263" s="9"/>
      <c r="E1263" s="9"/>
      <c r="F1263" s="12"/>
      <c r="G1263" s="12"/>
      <c r="H1263" s="12"/>
      <c r="I1263" s="12"/>
      <c r="J1263" s="12"/>
      <c r="K1263" s="12"/>
      <c r="L1263" s="1"/>
    </row>
    <row r="1264" spans="1:16" ht="15.75" customHeight="1" x14ac:dyDescent="0.35">
      <c r="B1264" s="13"/>
      <c r="C1264" s="13"/>
      <c r="D1264" s="13"/>
      <c r="E1264" s="13"/>
      <c r="F1264" s="13"/>
      <c r="G1264" s="13"/>
      <c r="I1264" s="13"/>
    </row>
    <row r="1265" spans="1:16" x14ac:dyDescent="0.35">
      <c r="B1265" s="13" t="s">
        <v>5</v>
      </c>
      <c r="C1265" s="13" t="s">
        <v>1</v>
      </c>
      <c r="D1265" s="15" t="str">
        <f>VLOOKUP(A1266,Inventory!$A$4:$K$1139,7)</f>
        <v xml:space="preserve">Klatch                             </v>
      </c>
      <c r="F1265" s="13" t="s">
        <v>235</v>
      </c>
      <c r="G1265" s="16"/>
      <c r="L1265" s="17"/>
      <c r="M1265" s="17"/>
    </row>
    <row r="1266" spans="1:16" x14ac:dyDescent="0.35">
      <c r="A1266">
        <v>161</v>
      </c>
      <c r="B1266" s="5">
        <v>44963</v>
      </c>
      <c r="C1266" s="15" t="str">
        <f>VLOOKUP(A1266,Inventory!$A$4:$K$1139,2)</f>
        <v>Colombia Nariño Organic 2020</v>
      </c>
      <c r="E1266" s="11"/>
      <c r="F1266" s="34" t="s">
        <v>279</v>
      </c>
      <c r="G1266" s="2" t="s">
        <v>286</v>
      </c>
      <c r="L1266" s="17"/>
      <c r="M1266" s="17"/>
      <c r="P1266" s="8"/>
    </row>
    <row r="1267" spans="1:16" x14ac:dyDescent="0.35">
      <c r="D1267" s="11"/>
      <c r="E1267" s="11"/>
      <c r="G1267" s="16"/>
      <c r="L1267" s="19"/>
      <c r="M1267" s="19"/>
    </row>
    <row r="1268" spans="1:16" x14ac:dyDescent="0.35">
      <c r="B1268" s="20"/>
      <c r="C1268" s="11" t="s">
        <v>240</v>
      </c>
      <c r="D1268" s="11" t="s">
        <v>272</v>
      </c>
      <c r="E1268" s="11">
        <v>368</v>
      </c>
      <c r="F1268" s="11">
        <v>375</v>
      </c>
      <c r="G1268" s="11">
        <v>382</v>
      </c>
      <c r="H1268" s="11">
        <v>391</v>
      </c>
      <c r="I1268" s="11">
        <v>394</v>
      </c>
      <c r="J1268" s="11"/>
      <c r="K1268" s="11"/>
      <c r="L1268" s="11"/>
    </row>
    <row r="1269" spans="1:16" ht="15.75" customHeight="1" x14ac:dyDescent="0.35">
      <c r="B1269" s="20" t="s">
        <v>242</v>
      </c>
      <c r="C1269" s="21"/>
      <c r="D1269" s="22" t="s">
        <v>294</v>
      </c>
      <c r="E1269" s="23" t="s">
        <v>244</v>
      </c>
      <c r="F1269" s="23" t="s">
        <v>245</v>
      </c>
      <c r="G1269" s="23" t="s">
        <v>246</v>
      </c>
      <c r="H1269" s="23" t="s">
        <v>247</v>
      </c>
      <c r="I1269" s="23" t="s">
        <v>248</v>
      </c>
      <c r="O1269" s="4"/>
    </row>
    <row r="1270" spans="1:16" ht="1" customHeight="1" x14ac:dyDescent="0.35">
      <c r="B1270" s="24" t="s">
        <v>249</v>
      </c>
      <c r="C1270" s="25"/>
      <c r="D1270" s="25"/>
      <c r="E1270" s="25"/>
      <c r="F1270" s="25"/>
      <c r="G1270" s="25"/>
      <c r="H1270" s="25"/>
      <c r="I1270" s="25"/>
      <c r="O1270" t="e">
        <f>(O1268-3*O1267)/O1269</f>
        <v>#DIV/0!</v>
      </c>
    </row>
    <row r="1271" spans="1:16" ht="15.75" customHeight="1" x14ac:dyDescent="0.35">
      <c r="B1271" s="20" t="s">
        <v>250</v>
      </c>
      <c r="C1271" s="26">
        <v>0.20833333333333334</v>
      </c>
      <c r="D1271" s="26">
        <v>0.29166666666666669</v>
      </c>
      <c r="E1271" s="26">
        <v>0.36458333333333331</v>
      </c>
      <c r="F1271" s="26">
        <f>E1271+'Lookup Tables'!$N$1</f>
        <v>0.38541666666666663</v>
      </c>
      <c r="G1271" s="26">
        <f>F1271+'Lookup Tables'!$N$1</f>
        <v>0.40624999999999994</v>
      </c>
      <c r="H1271" s="26">
        <f>G1271+'Lookup Tables'!$N$1</f>
        <v>0.42708333333333326</v>
      </c>
      <c r="I1271" s="26">
        <f>H1271+'Lookup Tables'!$S$1</f>
        <v>0.43749999999999994</v>
      </c>
      <c r="N1271">
        <f>MAX(F1268:M1268)-O1271</f>
        <v>26</v>
      </c>
      <c r="O1271" t="str">
        <f>RIGHT(E1268,3)</f>
        <v>368</v>
      </c>
    </row>
    <row r="1272" spans="1:16" ht="15.75" customHeight="1" x14ac:dyDescent="0.35">
      <c r="B1272" s="20" t="s">
        <v>251</v>
      </c>
      <c r="C1272" s="27">
        <v>0.2</v>
      </c>
      <c r="D1272" s="27">
        <v>0.5</v>
      </c>
      <c r="E1272" s="27"/>
      <c r="F1272" s="27"/>
      <c r="G1272" s="27"/>
      <c r="H1272" s="27"/>
      <c r="I1272" s="25"/>
      <c r="N1272" t="str">
        <f xml:space="preserve">  N1271 &amp; " degrees this time"</f>
        <v>26 degrees this time</v>
      </c>
    </row>
    <row r="1273" spans="1:16" ht="15.75" customHeight="1" x14ac:dyDescent="0.35">
      <c r="B1273" s="20" t="s">
        <v>252</v>
      </c>
      <c r="C1273" s="27">
        <v>0.9</v>
      </c>
      <c r="D1273" s="27">
        <v>0.8</v>
      </c>
      <c r="E1273" s="27">
        <v>0.7</v>
      </c>
      <c r="F1273" s="27">
        <v>0.6</v>
      </c>
      <c r="G1273" s="27">
        <v>0.5</v>
      </c>
      <c r="H1273" s="27"/>
      <c r="I1273" s="27" t="s">
        <v>275</v>
      </c>
    </row>
    <row r="1274" spans="1:16" ht="15.75" customHeight="1" x14ac:dyDescent="0.35">
      <c r="B1274" s="20"/>
      <c r="D1274" s="11"/>
      <c r="E1274" s="11"/>
      <c r="F1274" s="11"/>
      <c r="G1274" s="40"/>
      <c r="H1274" s="35"/>
    </row>
    <row r="1275" spans="1:16" ht="15.75" customHeight="1" x14ac:dyDescent="0.35">
      <c r="B1275" s="20"/>
      <c r="G1275" s="1" t="s">
        <v>331</v>
      </c>
      <c r="K1275" s="32" t="s">
        <v>332</v>
      </c>
      <c r="L1275" s="9"/>
      <c r="M1275" s="9"/>
    </row>
    <row r="1276" spans="1:16" ht="15.75" customHeight="1" x14ac:dyDescent="0.35">
      <c r="B1276" s="30"/>
      <c r="G1276" s="1"/>
      <c r="H1276" s="1"/>
      <c r="K1276" s="32"/>
      <c r="L1276" s="9"/>
      <c r="M1276" s="9"/>
    </row>
    <row r="1277" spans="1:16" ht="15.75" customHeight="1" x14ac:dyDescent="0.35">
      <c r="B1277" s="30"/>
      <c r="G1277" s="1"/>
      <c r="H1277" s="1"/>
      <c r="K1277" s="9" t="s">
        <v>300</v>
      </c>
      <c r="L1277" s="9"/>
      <c r="M1277" s="9"/>
    </row>
    <row r="1278" spans="1:16" ht="15.75" customHeight="1" x14ac:dyDescent="0.35">
      <c r="B1278" s="9"/>
      <c r="C1278" s="9"/>
      <c r="D1278" s="9"/>
      <c r="E1278" s="9"/>
      <c r="F1278" s="12"/>
      <c r="G1278" s="12"/>
      <c r="H1278" s="12"/>
      <c r="I1278" s="12"/>
      <c r="J1278" s="12"/>
      <c r="K1278" s="12"/>
      <c r="L1278" s="1"/>
    </row>
    <row r="1279" spans="1:16" ht="15.75" customHeight="1" x14ac:dyDescent="0.35">
      <c r="B1279" s="13"/>
      <c r="C1279" s="13"/>
      <c r="D1279" s="15"/>
      <c r="G1279" s="13"/>
      <c r="H1279" s="14" t="s">
        <v>255</v>
      </c>
      <c r="I1279" s="13"/>
      <c r="J1279" s="1"/>
    </row>
    <row r="1280" spans="1:16" x14ac:dyDescent="0.35">
      <c r="B1280" s="13" t="s">
        <v>5</v>
      </c>
      <c r="C1280" s="13" t="s">
        <v>1</v>
      </c>
      <c r="D1280" s="15" t="str">
        <f>VLOOKUP(A1281,Inventory!$A$4:$K$1139,7)</f>
        <v xml:space="preserve">Klatch                             </v>
      </c>
      <c r="F1280" s="13" t="s">
        <v>235</v>
      </c>
      <c r="G1280" s="16"/>
      <c r="L1280" s="17"/>
      <c r="M1280" s="17"/>
    </row>
    <row r="1281" spans="1:16" x14ac:dyDescent="0.35">
      <c r="A1281">
        <v>163</v>
      </c>
      <c r="B1281" s="5">
        <v>44963</v>
      </c>
      <c r="C1281" s="15" t="str">
        <f>VLOOKUP(A1281,Inventory!$A$4:$K$1139,2)</f>
        <v>Guatemala Antigua Hunapu Micro Lot 2020</v>
      </c>
      <c r="E1281" s="11"/>
      <c r="F1281" s="31" t="s">
        <v>354</v>
      </c>
      <c r="G1281" s="2" t="s">
        <v>286</v>
      </c>
      <c r="L1281" s="17"/>
      <c r="M1281" s="17"/>
      <c r="P1281" s="8"/>
    </row>
    <row r="1282" spans="1:16" x14ac:dyDescent="0.35">
      <c r="B1282" s="13"/>
      <c r="C1282" s="13"/>
      <c r="D1282" s="11"/>
      <c r="F1282" s="13"/>
      <c r="G1282" s="16"/>
      <c r="I1282" s="1"/>
      <c r="L1282" s="19"/>
      <c r="M1282" s="19"/>
    </row>
    <row r="1283" spans="1:16" x14ac:dyDescent="0.35">
      <c r="B1283" s="20"/>
      <c r="C1283" s="11" t="s">
        <v>240</v>
      </c>
      <c r="D1283" s="11" t="s">
        <v>241</v>
      </c>
      <c r="E1283" s="11">
        <v>360</v>
      </c>
      <c r="F1283" s="11">
        <v>366</v>
      </c>
      <c r="G1283" s="11">
        <v>370</v>
      </c>
      <c r="H1283" s="11">
        <v>378</v>
      </c>
      <c r="I1283" s="11">
        <v>384</v>
      </c>
      <c r="J1283" s="11" t="s">
        <v>373</v>
      </c>
      <c r="K1283" s="11"/>
      <c r="L1283" s="11"/>
    </row>
    <row r="1284" spans="1:16" ht="15.75" customHeight="1" x14ac:dyDescent="0.35">
      <c r="B1284" s="20" t="s">
        <v>242</v>
      </c>
      <c r="C1284" s="30"/>
      <c r="D1284" s="30"/>
      <c r="E1284" s="23" t="s">
        <v>244</v>
      </c>
      <c r="F1284" s="23" t="s">
        <v>245</v>
      </c>
      <c r="G1284" s="23" t="s">
        <v>246</v>
      </c>
      <c r="H1284" s="23" t="s">
        <v>247</v>
      </c>
      <c r="I1284" s="23" t="s">
        <v>259</v>
      </c>
      <c r="O1284" s="4"/>
    </row>
    <row r="1285" spans="1:16" ht="1" customHeight="1" x14ac:dyDescent="0.35">
      <c r="B1285" s="24" t="s">
        <v>249</v>
      </c>
      <c r="C1285" s="25"/>
      <c r="D1285" s="25"/>
      <c r="E1285" s="25"/>
      <c r="F1285" s="25"/>
      <c r="G1285" s="25"/>
      <c r="H1285" s="25"/>
      <c r="I1285" s="25"/>
      <c r="O1285" t="e">
        <f>(O1283-3*O1282)/O1284</f>
        <v>#DIV/0!</v>
      </c>
    </row>
    <row r="1286" spans="1:16" ht="15.75" customHeight="1" x14ac:dyDescent="0.35">
      <c r="B1286" s="20" t="s">
        <v>250</v>
      </c>
      <c r="C1286" s="26">
        <v>0.19097222222222221</v>
      </c>
      <c r="D1286" s="26">
        <v>0.27430555555555552</v>
      </c>
      <c r="E1286" s="26">
        <v>0.34722222222222227</v>
      </c>
      <c r="F1286" s="26">
        <f>E1286+'Lookup Tables'!$N$1</f>
        <v>0.36805555555555558</v>
      </c>
      <c r="G1286" s="26">
        <f>F1286+'Lookup Tables'!$N$1</f>
        <v>0.3888888888888889</v>
      </c>
      <c r="H1286" s="26">
        <f>G1286+'Lookup Tables'!$N$1</f>
        <v>0.40972222222222221</v>
      </c>
      <c r="I1286" s="26">
        <f>H1286+'Lookup Tables'!$N$1</f>
        <v>0.43055555555555552</v>
      </c>
      <c r="N1286">
        <f>MAX(F1283:M1283)-O1286</f>
        <v>24</v>
      </c>
      <c r="O1286" t="str">
        <f>RIGHT(E1283,3)</f>
        <v>360</v>
      </c>
    </row>
    <row r="1287" spans="1:16" ht="15.75" customHeight="1" x14ac:dyDescent="0.35">
      <c r="B1287" s="20" t="s">
        <v>251</v>
      </c>
      <c r="C1287" s="27">
        <v>0.2</v>
      </c>
      <c r="D1287" s="27">
        <v>0.5</v>
      </c>
      <c r="E1287" s="27"/>
      <c r="F1287" s="27"/>
      <c r="G1287" s="27"/>
      <c r="H1287" s="27"/>
      <c r="I1287" s="25"/>
      <c r="N1287" t="str">
        <f xml:space="preserve">  N1286 &amp; " degrees this time"</f>
        <v>24 degrees this time</v>
      </c>
    </row>
    <row r="1288" spans="1:16" ht="15.75" customHeight="1" x14ac:dyDescent="0.35">
      <c r="B1288" s="20" t="s">
        <v>252</v>
      </c>
      <c r="C1288" s="27">
        <v>0.9</v>
      </c>
      <c r="D1288" s="27">
        <v>0.7</v>
      </c>
      <c r="E1288" s="27"/>
      <c r="F1288" s="27"/>
      <c r="G1288" s="27">
        <v>0.6</v>
      </c>
      <c r="H1288" s="27">
        <v>0.4</v>
      </c>
      <c r="I1288" s="27" t="s">
        <v>275</v>
      </c>
    </row>
    <row r="1289" spans="1:16" ht="15.75" customHeight="1" x14ac:dyDescent="0.35">
      <c r="B1289" s="20"/>
      <c r="D1289" s="37"/>
      <c r="E1289" s="11"/>
      <c r="F1289" s="11"/>
      <c r="G1289" s="40"/>
      <c r="H1289" s="11"/>
      <c r="I1289" s="11"/>
      <c r="J1289" s="37"/>
      <c r="K1289" s="32" t="s">
        <v>306</v>
      </c>
      <c r="L1289" s="9"/>
      <c r="M1289" s="9"/>
    </row>
    <row r="1290" spans="1:16" ht="15.75" customHeight="1" x14ac:dyDescent="0.35">
      <c r="G1290" s="1" t="s">
        <v>307</v>
      </c>
      <c r="H1290" s="1"/>
      <c r="K1290" s="32"/>
      <c r="L1290" s="9"/>
      <c r="M1290" s="9"/>
    </row>
    <row r="1291" spans="1:16" ht="15.75" customHeight="1" x14ac:dyDescent="0.35">
      <c r="B1291" s="20"/>
      <c r="G1291" s="1"/>
      <c r="H1291" s="1"/>
      <c r="K1291" s="32" t="s">
        <v>309</v>
      </c>
      <c r="L1291" s="9"/>
      <c r="M1291" s="9"/>
    </row>
    <row r="1292" spans="1:16" ht="15.75" customHeight="1" x14ac:dyDescent="0.35">
      <c r="B1292" s="20"/>
      <c r="G1292" s="1"/>
      <c r="H1292" s="1"/>
      <c r="K1292" s="9" t="s">
        <v>300</v>
      </c>
      <c r="L1292" s="9"/>
      <c r="M1292" s="9"/>
    </row>
    <row r="1293" spans="1:16" ht="15.75" customHeight="1" x14ac:dyDescent="0.35">
      <c r="B1293" s="9"/>
      <c r="C1293" s="9"/>
      <c r="D1293" s="9"/>
      <c r="E1293" s="9"/>
      <c r="F1293" s="12"/>
      <c r="G1293" s="12"/>
      <c r="H1293" s="12"/>
      <c r="I1293" s="12"/>
      <c r="J1293" s="12"/>
      <c r="K1293" s="12"/>
      <c r="L1293" s="1"/>
    </row>
    <row r="1294" spans="1:16" ht="15.75" customHeight="1" x14ac:dyDescent="0.35">
      <c r="B1294" s="13"/>
      <c r="C1294" s="13"/>
      <c r="D1294" s="15"/>
    </row>
    <row r="1295" spans="1:16" x14ac:dyDescent="0.35">
      <c r="B1295" s="13" t="s">
        <v>5</v>
      </c>
      <c r="C1295" s="13" t="s">
        <v>1</v>
      </c>
      <c r="D1295" s="15" t="str">
        <f>VLOOKUP(A1296,Inventory!$A$4:$K$1139,7)</f>
        <v xml:space="preserve">GCBC                               </v>
      </c>
      <c r="F1295" s="13" t="s">
        <v>235</v>
      </c>
      <c r="G1295" s="16"/>
      <c r="L1295" s="17"/>
      <c r="M1295" s="17"/>
    </row>
    <row r="1296" spans="1:16" x14ac:dyDescent="0.35">
      <c r="A1296">
        <v>160</v>
      </c>
      <c r="B1296" s="5">
        <v>44963</v>
      </c>
      <c r="C1296" s="15" t="str">
        <f>VLOOKUP(A1296,Inventory!$A$4:$K$1139,2)</f>
        <v>Sumatra Mandheling Takengon 2020</v>
      </c>
      <c r="E1296" s="11"/>
      <c r="F1296" s="34" t="s">
        <v>279</v>
      </c>
      <c r="G1296" s="2" t="s">
        <v>270</v>
      </c>
      <c r="J1296" s="8"/>
      <c r="L1296" s="17"/>
      <c r="M1296" s="17"/>
      <c r="P1296" s="8"/>
    </row>
    <row r="1297" spans="1:16" x14ac:dyDescent="0.35">
      <c r="B1297" s="13"/>
      <c r="C1297" s="13"/>
      <c r="D1297" s="11"/>
      <c r="F1297" s="13"/>
      <c r="G1297" s="16"/>
      <c r="K1297" s="1"/>
      <c r="L1297" s="19"/>
      <c r="M1297" s="19"/>
    </row>
    <row r="1298" spans="1:16" x14ac:dyDescent="0.35">
      <c r="B1298" s="20"/>
      <c r="C1298" s="11" t="s">
        <v>240</v>
      </c>
      <c r="D1298" s="11" t="s">
        <v>301</v>
      </c>
      <c r="E1298" s="11">
        <v>372</v>
      </c>
      <c r="F1298" s="11">
        <v>378</v>
      </c>
      <c r="G1298" s="11">
        <v>385</v>
      </c>
      <c r="H1298" s="11">
        <v>390</v>
      </c>
      <c r="I1298" s="11">
        <v>396</v>
      </c>
      <c r="J1298" s="11"/>
      <c r="K1298" s="11"/>
      <c r="L1298" s="11"/>
    </row>
    <row r="1299" spans="1:16" ht="15.75" customHeight="1" x14ac:dyDescent="0.35">
      <c r="B1299" s="20" t="s">
        <v>242</v>
      </c>
      <c r="C1299" s="21"/>
      <c r="D1299" s="22" t="s">
        <v>302</v>
      </c>
      <c r="E1299" s="23" t="s">
        <v>244</v>
      </c>
      <c r="F1299" s="23" t="s">
        <v>245</v>
      </c>
      <c r="G1299" s="23" t="s">
        <v>246</v>
      </c>
      <c r="H1299" s="23" t="s">
        <v>247</v>
      </c>
      <c r="I1299" s="23" t="s">
        <v>259</v>
      </c>
      <c r="O1299" s="4"/>
    </row>
    <row r="1300" spans="1:16" ht="1" customHeight="1" x14ac:dyDescent="0.35">
      <c r="B1300" s="24" t="s">
        <v>249</v>
      </c>
      <c r="C1300" s="25"/>
      <c r="D1300" s="25"/>
      <c r="E1300" s="25"/>
      <c r="F1300" s="25"/>
      <c r="G1300" s="25"/>
      <c r="H1300" s="25"/>
      <c r="I1300" s="25"/>
      <c r="O1300" t="e">
        <f>(O1298-3*O1297)/O1299</f>
        <v>#DIV/0!</v>
      </c>
    </row>
    <row r="1301" spans="1:16" ht="15.75" customHeight="1" x14ac:dyDescent="0.35">
      <c r="B1301" s="20" t="s">
        <v>250</v>
      </c>
      <c r="C1301" s="26">
        <v>0.24305555555555555</v>
      </c>
      <c r="D1301" s="26">
        <v>0.34027777777777773</v>
      </c>
      <c r="E1301" s="26">
        <v>0.4201388888888889</v>
      </c>
      <c r="F1301" s="26">
        <f>E1301+'Lookup Tables'!$N$1</f>
        <v>0.44097222222222221</v>
      </c>
      <c r="G1301" s="26">
        <f>F1301+'Lookup Tables'!$N$1</f>
        <v>0.46180555555555552</v>
      </c>
      <c r="H1301" s="26">
        <f>G1301+'Lookup Tables'!$N$1</f>
        <v>0.48263888888888884</v>
      </c>
      <c r="I1301" s="26">
        <f>H1301+'Lookup Tables'!$N$1</f>
        <v>0.50347222222222221</v>
      </c>
      <c r="N1301">
        <f>MAX(F1298:M1298)-O1301</f>
        <v>24</v>
      </c>
      <c r="O1301" t="str">
        <f>RIGHT(E1298,3)</f>
        <v>372</v>
      </c>
    </row>
    <row r="1302" spans="1:16" ht="15.75" customHeight="1" x14ac:dyDescent="0.35">
      <c r="B1302" s="20" t="s">
        <v>251</v>
      </c>
      <c r="C1302" s="27">
        <v>0.2</v>
      </c>
      <c r="D1302" s="27">
        <v>0.5</v>
      </c>
      <c r="E1302" s="27"/>
      <c r="F1302" s="27"/>
      <c r="G1302" s="27"/>
      <c r="H1302" s="27"/>
      <c r="I1302" s="27"/>
      <c r="N1302" t="str">
        <f xml:space="preserve">  N1301 &amp; " degrees this time"</f>
        <v>24 degrees this time</v>
      </c>
    </row>
    <row r="1303" spans="1:16" ht="15.75" customHeight="1" x14ac:dyDescent="0.35">
      <c r="B1303" s="20" t="s">
        <v>252</v>
      </c>
      <c r="C1303" s="27">
        <v>0.9</v>
      </c>
      <c r="D1303" s="27">
        <v>0.7</v>
      </c>
      <c r="E1303" s="27">
        <v>0.4</v>
      </c>
      <c r="F1303" s="27" t="s">
        <v>274</v>
      </c>
      <c r="G1303" s="27"/>
      <c r="H1303" s="27"/>
      <c r="I1303" s="27"/>
    </row>
    <row r="1304" spans="1:16" ht="15.75" customHeight="1" x14ac:dyDescent="0.35">
      <c r="B1304" s="20"/>
      <c r="D1304" s="11"/>
      <c r="E1304" s="11"/>
      <c r="F1304" s="11"/>
      <c r="G1304" s="11"/>
      <c r="H1304" s="11"/>
      <c r="I1304" s="11"/>
      <c r="J1304" s="37"/>
      <c r="K1304" s="37"/>
      <c r="L1304" s="35"/>
    </row>
    <row r="1305" spans="1:16" ht="15.75" customHeight="1" x14ac:dyDescent="0.35">
      <c r="B1305" s="38"/>
      <c r="E1305" s="11"/>
      <c r="G1305" s="1" t="s">
        <v>303</v>
      </c>
      <c r="H1305" s="1"/>
      <c r="K1305" s="32"/>
      <c r="L1305" s="9"/>
      <c r="M1305" s="9"/>
    </row>
    <row r="1306" spans="1:16" ht="15.75" customHeight="1" x14ac:dyDescent="0.35">
      <c r="B1306" s="20"/>
      <c r="G1306" s="1"/>
      <c r="H1306" s="1"/>
      <c r="K1306" s="32"/>
      <c r="L1306" s="9"/>
      <c r="M1306" s="9"/>
    </row>
    <row r="1307" spans="1:16" ht="15.75" customHeight="1" x14ac:dyDescent="0.35">
      <c r="B1307" s="20"/>
      <c r="G1307" s="1"/>
      <c r="H1307" s="1"/>
      <c r="K1307" s="9" t="s">
        <v>300</v>
      </c>
      <c r="L1307" s="9"/>
      <c r="M1307" s="9"/>
    </row>
    <row r="1308" spans="1:16" ht="15.75" customHeight="1" x14ac:dyDescent="0.35">
      <c r="B1308" s="9"/>
      <c r="C1308" s="9"/>
      <c r="D1308" s="9"/>
      <c r="E1308" s="9"/>
      <c r="F1308" s="12"/>
      <c r="G1308" s="12"/>
      <c r="H1308" s="12"/>
      <c r="I1308" s="12"/>
      <c r="J1308" s="12"/>
      <c r="K1308" s="12"/>
      <c r="L1308" s="1"/>
    </row>
    <row r="1309" spans="1:16" ht="15.75" customHeight="1" x14ac:dyDescent="0.35">
      <c r="B1309" s="13"/>
      <c r="C1309" s="13"/>
      <c r="D1309" s="15"/>
      <c r="E1309" s="15"/>
      <c r="F1309" s="33" t="s">
        <v>305</v>
      </c>
      <c r="G1309" s="16"/>
      <c r="H1309" s="14" t="s">
        <v>255</v>
      </c>
      <c r="I1309" s="14"/>
    </row>
    <row r="1310" spans="1:16" x14ac:dyDescent="0.35">
      <c r="B1310" s="13" t="s">
        <v>5</v>
      </c>
      <c r="C1310" s="13" t="s">
        <v>1</v>
      </c>
      <c r="D1310" s="15" t="str">
        <f>VLOOKUP(A1311,Inventory!$A$4:$K$1139,7)</f>
        <v xml:space="preserve">Sweet Marias                       </v>
      </c>
      <c r="F1310" s="13" t="s">
        <v>235</v>
      </c>
      <c r="G1310" s="16"/>
      <c r="H1310" s="14" t="s">
        <v>236</v>
      </c>
      <c r="L1310" s="17"/>
      <c r="M1310" s="17"/>
    </row>
    <row r="1311" spans="1:16" x14ac:dyDescent="0.35">
      <c r="A1311">
        <v>169</v>
      </c>
      <c r="B1311" s="5">
        <v>44929</v>
      </c>
      <c r="C1311" s="15" t="str">
        <f>VLOOKUP(A1311,Inventory!$A$4:$K$1139,2)</f>
        <v>Yemen Mokha Matari 2021</v>
      </c>
      <c r="F1311" s="31" t="s">
        <v>291</v>
      </c>
      <c r="G1311" s="2" t="s">
        <v>286</v>
      </c>
      <c r="L1311" s="17"/>
      <c r="M1311" s="17"/>
      <c r="P1311" s="8"/>
    </row>
    <row r="1312" spans="1:16" x14ac:dyDescent="0.35">
      <c r="B1312" t="s">
        <v>16</v>
      </c>
      <c r="G1312" s="16"/>
      <c r="L1312" s="19"/>
      <c r="M1312" s="19"/>
    </row>
    <row r="1313" spans="1:16" x14ac:dyDescent="0.35">
      <c r="B1313" s="20"/>
      <c r="C1313" s="11" t="s">
        <v>240</v>
      </c>
      <c r="D1313" s="11" t="s">
        <v>272</v>
      </c>
      <c r="E1313" s="11">
        <v>373</v>
      </c>
      <c r="F1313" s="11">
        <v>380</v>
      </c>
      <c r="G1313" s="11">
        <v>388</v>
      </c>
      <c r="H1313" s="11">
        <v>393</v>
      </c>
      <c r="I1313" s="11" t="s">
        <v>313</v>
      </c>
      <c r="J1313" s="11"/>
      <c r="K1313" s="11"/>
      <c r="L1313" s="28"/>
    </row>
    <row r="1314" spans="1:16" ht="15.75" customHeight="1" x14ac:dyDescent="0.35">
      <c r="B1314" s="20" t="s">
        <v>242</v>
      </c>
      <c r="C1314" s="21"/>
      <c r="D1314" s="22" t="s">
        <v>294</v>
      </c>
      <c r="E1314" s="23" t="s">
        <v>244</v>
      </c>
      <c r="F1314" s="23" t="s">
        <v>245</v>
      </c>
      <c r="G1314" s="23" t="s">
        <v>246</v>
      </c>
      <c r="H1314" s="23" t="s">
        <v>273</v>
      </c>
      <c r="I1314" s="23" t="s">
        <v>247</v>
      </c>
      <c r="O1314" s="4"/>
    </row>
    <row r="1315" spans="1:16" ht="1" customHeight="1" x14ac:dyDescent="0.35">
      <c r="B1315" s="24" t="s">
        <v>249</v>
      </c>
      <c r="C1315" s="25">
        <v>320</v>
      </c>
      <c r="D1315" s="25">
        <v>350</v>
      </c>
      <c r="E1315" s="25"/>
      <c r="F1315" s="25"/>
      <c r="G1315" s="25"/>
      <c r="H1315" s="23" t="s">
        <v>247</v>
      </c>
      <c r="I1315" s="25"/>
      <c r="O1315" t="e">
        <f>(O1313-3*O1312)/O1314</f>
        <v>#DIV/0!</v>
      </c>
    </row>
    <row r="1316" spans="1:16" ht="15.75" customHeight="1" x14ac:dyDescent="0.35">
      <c r="B1316" s="20" t="s">
        <v>250</v>
      </c>
      <c r="C1316" s="26">
        <v>0.21180555555555555</v>
      </c>
      <c r="D1316" s="26">
        <v>0.30555555555555552</v>
      </c>
      <c r="E1316" s="26">
        <v>0.40277777777777773</v>
      </c>
      <c r="F1316" s="26">
        <f>E1316+'Lookup Tables'!$N$1</f>
        <v>0.42361111111111105</v>
      </c>
      <c r="G1316" s="26">
        <f>F1316+'Lookup Tables'!$N$1</f>
        <v>0.44444444444444436</v>
      </c>
      <c r="H1316" s="26">
        <f>G1316+'Lookup Tables'!$S$1</f>
        <v>0.45486111111111105</v>
      </c>
      <c r="I1316" s="26">
        <f>H1316+'Lookup Tables'!$S$1</f>
        <v>0.46527777777777773</v>
      </c>
      <c r="J1316" s="11"/>
      <c r="K1316" s="11"/>
      <c r="N1316">
        <f>MAX(F1313:M1313)-O1316</f>
        <v>20</v>
      </c>
      <c r="O1316" t="str">
        <f>RIGHT(E1313,3)</f>
        <v>373</v>
      </c>
    </row>
    <row r="1317" spans="1:16" ht="15.75" customHeight="1" x14ac:dyDescent="0.35">
      <c r="B1317" s="20" t="s">
        <v>251</v>
      </c>
      <c r="C1317" s="27">
        <v>0.2</v>
      </c>
      <c r="D1317" s="27">
        <v>0.5</v>
      </c>
      <c r="E1317" s="27"/>
      <c r="F1317" s="27"/>
      <c r="G1317" s="27">
        <v>0.25</v>
      </c>
      <c r="H1317" s="27"/>
      <c r="I1317" s="27"/>
      <c r="N1317" t="str">
        <f xml:space="preserve">  N1316 &amp; " degrees this time"</f>
        <v>20 degrees this time</v>
      </c>
    </row>
    <row r="1318" spans="1:16" ht="15.75" customHeight="1" x14ac:dyDescent="0.35">
      <c r="B1318" s="20" t="s">
        <v>252</v>
      </c>
      <c r="C1318" s="27">
        <v>0.9</v>
      </c>
      <c r="D1318" s="27">
        <v>0.7</v>
      </c>
      <c r="E1318" s="27">
        <v>0.7</v>
      </c>
      <c r="F1318" s="27">
        <v>0.5</v>
      </c>
      <c r="G1318" s="27"/>
      <c r="H1318" s="27" t="s">
        <v>275</v>
      </c>
      <c r="I1318" s="27" t="s">
        <v>275</v>
      </c>
    </row>
    <row r="1319" spans="1:16" ht="15.75" customHeight="1" x14ac:dyDescent="0.35">
      <c r="B1319" s="20"/>
      <c r="D1319" s="11"/>
      <c r="E1319" s="40"/>
      <c r="F1319" s="11"/>
      <c r="G1319" s="11"/>
      <c r="K1319" s="32" t="s">
        <v>314</v>
      </c>
      <c r="L1319" s="9"/>
      <c r="M1319" s="9"/>
    </row>
    <row r="1320" spans="1:16" ht="15.75" customHeight="1" x14ac:dyDescent="0.35">
      <c r="B1320" s="38"/>
      <c r="D1320" s="15"/>
      <c r="F1320" s="13"/>
      <c r="G1320" s="1" t="s">
        <v>296</v>
      </c>
      <c r="K1320" s="32"/>
      <c r="L1320" s="9"/>
      <c r="M1320" s="9"/>
    </row>
    <row r="1321" spans="1:16" ht="15.75" customHeight="1" x14ac:dyDescent="0.35">
      <c r="B1321" s="20"/>
      <c r="G1321" s="1"/>
      <c r="H1321" s="1"/>
      <c r="K1321" s="9"/>
      <c r="L1321" s="9"/>
      <c r="M1321" s="9"/>
    </row>
    <row r="1322" spans="1:16" ht="15.75" customHeight="1" x14ac:dyDescent="0.35">
      <c r="B1322" s="20"/>
      <c r="G1322" s="1"/>
      <c r="H1322" s="1"/>
      <c r="K1322" s="9" t="s">
        <v>297</v>
      </c>
      <c r="L1322" s="9"/>
      <c r="M1322" s="9"/>
    </row>
    <row r="1323" spans="1:16" ht="15.75" customHeight="1" x14ac:dyDescent="0.35">
      <c r="B1323" s="9"/>
      <c r="C1323" s="9"/>
      <c r="D1323" s="9"/>
      <c r="E1323" s="9"/>
      <c r="F1323" s="12"/>
      <c r="G1323" s="12"/>
      <c r="H1323" s="12"/>
      <c r="I1323" s="12"/>
      <c r="J1323" s="12"/>
      <c r="K1323" s="12"/>
      <c r="L1323" s="1"/>
    </row>
    <row r="1324" spans="1:16" ht="15.75" customHeight="1" x14ac:dyDescent="0.35">
      <c r="B1324" s="13"/>
      <c r="C1324" s="13"/>
      <c r="D1324" s="13"/>
      <c r="E1324" s="13"/>
      <c r="F1324" s="33" t="s">
        <v>298</v>
      </c>
      <c r="G1324" s="13"/>
      <c r="H1324" s="14" t="s">
        <v>255</v>
      </c>
      <c r="I1324" s="13"/>
    </row>
    <row r="1325" spans="1:16" x14ac:dyDescent="0.35">
      <c r="B1325" s="13" t="s">
        <v>5</v>
      </c>
      <c r="C1325" s="13" t="s">
        <v>1</v>
      </c>
      <c r="D1325" s="15" t="str">
        <f>VLOOKUP(A1326,Inventory!$A$4:$K$1139,7)</f>
        <v xml:space="preserve">Klatch                             </v>
      </c>
      <c r="F1325" s="13" t="s">
        <v>235</v>
      </c>
      <c r="G1325" s="16"/>
      <c r="L1325" s="17"/>
      <c r="M1325" s="17"/>
    </row>
    <row r="1326" spans="1:16" x14ac:dyDescent="0.35">
      <c r="A1326">
        <v>166</v>
      </c>
      <c r="B1326" s="5">
        <v>44929</v>
      </c>
      <c r="C1326" s="15" t="str">
        <f>VLOOKUP(A1326,Inventory!$A$4:$K$1139,2)</f>
        <v>Panama Elida Natural 2020</v>
      </c>
      <c r="F1326" s="31" t="s">
        <v>291</v>
      </c>
      <c r="G1326" s="2" t="s">
        <v>270</v>
      </c>
      <c r="L1326" s="17"/>
      <c r="M1326" s="17"/>
      <c r="P1326" s="8"/>
    </row>
    <row r="1327" spans="1:16" x14ac:dyDescent="0.35">
      <c r="F1327" s="13"/>
      <c r="G1327" s="16"/>
      <c r="L1327" s="19"/>
      <c r="M1327" s="19"/>
    </row>
    <row r="1328" spans="1:16" x14ac:dyDescent="0.35">
      <c r="B1328" s="20"/>
      <c r="C1328" s="11" t="s">
        <v>240</v>
      </c>
      <c r="D1328" s="11" t="s">
        <v>272</v>
      </c>
      <c r="E1328" s="11">
        <v>365</v>
      </c>
      <c r="F1328" s="11">
        <v>375</v>
      </c>
      <c r="G1328" s="11">
        <v>379</v>
      </c>
      <c r="H1328" s="11">
        <v>382</v>
      </c>
      <c r="I1328" s="11"/>
      <c r="J1328" s="11"/>
      <c r="K1328" s="28"/>
      <c r="L1328" s="28"/>
    </row>
    <row r="1329" spans="1:16" ht="15.75" customHeight="1" x14ac:dyDescent="0.35">
      <c r="B1329" s="20" t="s">
        <v>242</v>
      </c>
      <c r="C1329" s="30"/>
      <c r="D1329" s="30"/>
      <c r="E1329" s="23" t="s">
        <v>244</v>
      </c>
      <c r="F1329" s="23" t="s">
        <v>245</v>
      </c>
      <c r="G1329" s="23" t="s">
        <v>246</v>
      </c>
      <c r="H1329" s="23" t="s">
        <v>273</v>
      </c>
      <c r="O1329" s="4"/>
    </row>
    <row r="1330" spans="1:16" ht="1" customHeight="1" x14ac:dyDescent="0.35">
      <c r="B1330" s="24" t="s">
        <v>249</v>
      </c>
      <c r="C1330" s="25"/>
      <c r="D1330" s="25"/>
      <c r="E1330" s="25"/>
      <c r="F1330" s="25"/>
      <c r="G1330" s="25"/>
      <c r="H1330" s="25"/>
      <c r="O1330" t="e">
        <f>(O1328-3*O1327)/O1329</f>
        <v>#DIV/0!</v>
      </c>
    </row>
    <row r="1331" spans="1:16" ht="15.75" customHeight="1" x14ac:dyDescent="0.35">
      <c r="B1331" s="20" t="s">
        <v>250</v>
      </c>
      <c r="C1331" s="26">
        <v>0.21180555555555555</v>
      </c>
      <c r="D1331" s="26">
        <v>0.30208333333333331</v>
      </c>
      <c r="E1331" s="26">
        <v>0.37847222222222227</v>
      </c>
      <c r="F1331" s="26">
        <f>E1331+'Lookup Tables'!$N$1</f>
        <v>0.39930555555555558</v>
      </c>
      <c r="G1331" s="26">
        <f>F1331+'Lookup Tables'!$N$1</f>
        <v>0.4201388888888889</v>
      </c>
      <c r="H1331" s="26">
        <f>G1331+'Lookup Tables'!$S$1</f>
        <v>0.43055555555555558</v>
      </c>
      <c r="N1331">
        <f>MAX(F1328:M1328)-O1331</f>
        <v>17</v>
      </c>
      <c r="O1331" t="str">
        <f>RIGHT(E1328,3)</f>
        <v>365</v>
      </c>
    </row>
    <row r="1332" spans="1:16" ht="15.75" customHeight="1" x14ac:dyDescent="0.35">
      <c r="B1332" s="20" t="s">
        <v>251</v>
      </c>
      <c r="C1332" s="27">
        <v>0.2</v>
      </c>
      <c r="D1332" s="27">
        <v>0.5</v>
      </c>
      <c r="E1332" s="27">
        <v>0.5</v>
      </c>
      <c r="F1332" s="27" t="s">
        <v>274</v>
      </c>
      <c r="G1332" s="27"/>
      <c r="H1332" s="25"/>
      <c r="N1332" t="str">
        <f xml:space="preserve">  N1331 &amp; " degrees this time"</f>
        <v>17 degrees this time</v>
      </c>
    </row>
    <row r="1333" spans="1:16" ht="15.75" customHeight="1" x14ac:dyDescent="0.35">
      <c r="B1333" s="20" t="s">
        <v>252</v>
      </c>
      <c r="C1333" s="27">
        <v>0.9</v>
      </c>
      <c r="D1333" s="27">
        <v>0.7</v>
      </c>
      <c r="E1333" s="27">
        <v>0.6</v>
      </c>
      <c r="F1333" s="27" t="s">
        <v>274</v>
      </c>
      <c r="G1333" s="27"/>
      <c r="H1333" s="27" t="s">
        <v>275</v>
      </c>
    </row>
    <row r="1334" spans="1:16" ht="15.75" customHeight="1" x14ac:dyDescent="0.35">
      <c r="B1334" s="20"/>
      <c r="D1334" s="11"/>
      <c r="E1334" s="11"/>
      <c r="F1334" s="11"/>
    </row>
    <row r="1335" spans="1:16" ht="15.75" customHeight="1" x14ac:dyDescent="0.35">
      <c r="B1335" s="20"/>
      <c r="C1335" s="30"/>
      <c r="D1335" s="11"/>
      <c r="E1335" s="11"/>
      <c r="F1335" s="11"/>
      <c r="G1335" s="1" t="s">
        <v>276</v>
      </c>
      <c r="K1335" s="32" t="s">
        <v>378</v>
      </c>
      <c r="L1335" s="9"/>
      <c r="M1335" s="9"/>
    </row>
    <row r="1336" spans="1:16" ht="15.75" customHeight="1" x14ac:dyDescent="0.35">
      <c r="B1336" s="20"/>
      <c r="G1336" s="1"/>
      <c r="H1336" s="1"/>
      <c r="K1336" s="9"/>
      <c r="L1336" s="9"/>
      <c r="M1336" s="9"/>
    </row>
    <row r="1337" spans="1:16" ht="15.75" customHeight="1" x14ac:dyDescent="0.35">
      <c r="B1337" s="20"/>
      <c r="G1337" s="1"/>
      <c r="H1337" s="1"/>
      <c r="K1337" s="32" t="s">
        <v>277</v>
      </c>
      <c r="L1337" s="9"/>
      <c r="M1337" s="9"/>
    </row>
    <row r="1338" spans="1:16" ht="15.75" customHeight="1" x14ac:dyDescent="0.35">
      <c r="B1338" s="9"/>
      <c r="C1338" s="9"/>
      <c r="D1338" s="9"/>
      <c r="E1338" s="9"/>
      <c r="F1338" s="12"/>
      <c r="G1338" s="12"/>
      <c r="H1338" s="12"/>
      <c r="I1338" s="12"/>
      <c r="J1338" s="12"/>
      <c r="K1338" s="12"/>
      <c r="L1338" s="1"/>
    </row>
    <row r="1339" spans="1:16" ht="15.75" customHeight="1" x14ac:dyDescent="0.35">
      <c r="B1339" s="13"/>
      <c r="C1339" s="13"/>
      <c r="D1339" s="15"/>
      <c r="G1339" s="16"/>
      <c r="H1339" s="14"/>
    </row>
    <row r="1340" spans="1:16" x14ac:dyDescent="0.35">
      <c r="B1340" s="13" t="s">
        <v>5</v>
      </c>
      <c r="C1340" s="13" t="s">
        <v>1</v>
      </c>
      <c r="D1340" s="15" t="str">
        <f>VLOOKUP(A1341,Inventory!$A$4:$K$1139,7)</f>
        <v>Leverhead Coffee</v>
      </c>
      <c r="F1340" s="13" t="s">
        <v>235</v>
      </c>
      <c r="G1340" s="16"/>
      <c r="H1340" s="52" t="s">
        <v>379</v>
      </c>
      <c r="I1340" s="53"/>
      <c r="J1340" s="53"/>
      <c r="L1340" s="17"/>
      <c r="M1340" s="17"/>
    </row>
    <row r="1341" spans="1:16" x14ac:dyDescent="0.35">
      <c r="A1341">
        <v>159</v>
      </c>
      <c r="B1341" s="5">
        <v>44929</v>
      </c>
      <c r="C1341" s="15" t="str">
        <f>VLOOKUP(A1341,Inventory!$A$4:$K$1139,2)</f>
        <v>Rwanda Abakundakawa 2020</v>
      </c>
      <c r="F1341" s="34" t="s">
        <v>279</v>
      </c>
      <c r="G1341" s="2" t="s">
        <v>270</v>
      </c>
      <c r="L1341" s="17"/>
      <c r="M1341" s="17"/>
      <c r="P1341" s="8"/>
    </row>
    <row r="1342" spans="1:16" x14ac:dyDescent="0.35">
      <c r="L1342" s="19"/>
      <c r="M1342" s="19"/>
    </row>
    <row r="1343" spans="1:16" x14ac:dyDescent="0.35">
      <c r="B1343" s="20"/>
      <c r="C1343" s="11" t="s">
        <v>240</v>
      </c>
      <c r="D1343" s="11" t="s">
        <v>241</v>
      </c>
      <c r="E1343" s="11">
        <v>370</v>
      </c>
      <c r="F1343" s="11">
        <v>378</v>
      </c>
      <c r="G1343" s="11">
        <v>385</v>
      </c>
      <c r="H1343" s="11">
        <v>392</v>
      </c>
      <c r="I1343" s="11">
        <v>396</v>
      </c>
      <c r="J1343" s="11">
        <v>400</v>
      </c>
      <c r="K1343" s="28"/>
      <c r="L1343" s="28"/>
    </row>
    <row r="1344" spans="1:16" ht="15.75" customHeight="1" x14ac:dyDescent="0.35">
      <c r="A1344" t="s">
        <v>16</v>
      </c>
      <c r="B1344" s="20" t="s">
        <v>242</v>
      </c>
      <c r="C1344" s="30"/>
      <c r="D1344" s="30"/>
      <c r="E1344" s="23" t="s">
        <v>244</v>
      </c>
      <c r="F1344" s="23" t="s">
        <v>245</v>
      </c>
      <c r="G1344" s="23" t="s">
        <v>246</v>
      </c>
      <c r="H1344" s="23" t="s">
        <v>247</v>
      </c>
      <c r="I1344" s="23" t="s">
        <v>248</v>
      </c>
      <c r="J1344" s="23" t="s">
        <v>259</v>
      </c>
      <c r="O1344" s="4"/>
    </row>
    <row r="1345" spans="1:16" ht="1" customHeight="1" x14ac:dyDescent="0.35">
      <c r="B1345" s="24" t="s">
        <v>249</v>
      </c>
      <c r="C1345" s="25"/>
      <c r="D1345" s="25"/>
      <c r="E1345" s="25">
        <v>388</v>
      </c>
      <c r="F1345" s="25">
        <v>393</v>
      </c>
      <c r="G1345" s="25">
        <v>397</v>
      </c>
      <c r="H1345" s="25">
        <v>401</v>
      </c>
      <c r="I1345" s="25"/>
      <c r="J1345" s="25"/>
      <c r="K1345" t="s">
        <v>280</v>
      </c>
      <c r="O1345" t="e">
        <f>(O1343-3*O1342)/O1344</f>
        <v>#DIV/0!</v>
      </c>
    </row>
    <row r="1346" spans="1:16" ht="15.75" customHeight="1" x14ac:dyDescent="0.35">
      <c r="B1346" s="20" t="s">
        <v>250</v>
      </c>
      <c r="C1346" s="26">
        <v>0.22222222222222221</v>
      </c>
      <c r="D1346" s="26">
        <v>0.3125</v>
      </c>
      <c r="E1346" s="26">
        <v>0.40972222222222227</v>
      </c>
      <c r="F1346" s="26">
        <f>E1346+'Lookup Tables'!$N$1</f>
        <v>0.43055555555555558</v>
      </c>
      <c r="G1346" s="26">
        <f>F1346+'Lookup Tables'!$N$1</f>
        <v>0.4513888888888889</v>
      </c>
      <c r="H1346" s="26">
        <f>G1346+'Lookup Tables'!$N$1</f>
        <v>0.47222222222222221</v>
      </c>
      <c r="I1346" s="26">
        <f>H1346+'Lookup Tables'!$S$1</f>
        <v>0.4826388888888889</v>
      </c>
      <c r="J1346" s="26">
        <f>I1346+'Lookup Tables'!$S$1</f>
        <v>0.49305555555555558</v>
      </c>
      <c r="N1346">
        <f>MAX(F1343:M1343)-O1346</f>
        <v>30</v>
      </c>
      <c r="O1346" t="str">
        <f>RIGHT(E1343,3)</f>
        <v>370</v>
      </c>
    </row>
    <row r="1347" spans="1:16" ht="15.75" customHeight="1" x14ac:dyDescent="0.35">
      <c r="B1347" s="20" t="s">
        <v>251</v>
      </c>
      <c r="C1347" s="27">
        <v>0.2</v>
      </c>
      <c r="D1347" s="27">
        <v>0.5</v>
      </c>
      <c r="E1347" s="27"/>
      <c r="F1347" s="27"/>
      <c r="G1347" s="27"/>
      <c r="H1347" s="27" t="s">
        <v>274</v>
      </c>
      <c r="I1347" s="27"/>
      <c r="J1347" s="27"/>
      <c r="N1347" t="str">
        <f xml:space="preserve">  N1346 &amp; " degrees this time"</f>
        <v>30 degrees this time</v>
      </c>
    </row>
    <row r="1348" spans="1:16" ht="15.75" customHeight="1" x14ac:dyDescent="0.35">
      <c r="B1348" s="20" t="s">
        <v>252</v>
      </c>
      <c r="C1348" s="27">
        <v>0.9</v>
      </c>
      <c r="D1348" s="27">
        <v>0.8</v>
      </c>
      <c r="E1348" s="27">
        <v>0.6</v>
      </c>
      <c r="F1348" s="27">
        <v>0.5</v>
      </c>
      <c r="G1348" s="27">
        <v>0.3</v>
      </c>
      <c r="H1348" s="27" t="s">
        <v>274</v>
      </c>
      <c r="I1348" s="27" t="s">
        <v>275</v>
      </c>
      <c r="J1348" s="27" t="s">
        <v>275</v>
      </c>
    </row>
    <row r="1349" spans="1:16" ht="15.75" customHeight="1" x14ac:dyDescent="0.35">
      <c r="B1349" s="20"/>
      <c r="C1349" s="30"/>
      <c r="D1349" s="11"/>
      <c r="E1349" s="11"/>
      <c r="F1349" s="11"/>
      <c r="H1349" s="1"/>
      <c r="J1349" s="35"/>
    </row>
    <row r="1350" spans="1:16" ht="15.75" customHeight="1" x14ac:dyDescent="0.35">
      <c r="G1350" s="1" t="s">
        <v>342</v>
      </c>
      <c r="K1350" s="32" t="s">
        <v>343</v>
      </c>
      <c r="L1350" s="9"/>
      <c r="M1350" s="9"/>
    </row>
    <row r="1351" spans="1:16" ht="15.75" customHeight="1" x14ac:dyDescent="0.35">
      <c r="B1351" s="20"/>
      <c r="G1351" s="1"/>
      <c r="H1351" s="1"/>
      <c r="K1351" s="32"/>
      <c r="L1351" s="9"/>
      <c r="M1351" s="9"/>
    </row>
    <row r="1352" spans="1:16" ht="15.75" customHeight="1" x14ac:dyDescent="0.35">
      <c r="B1352" s="20"/>
      <c r="G1352" s="1"/>
      <c r="H1352" s="1"/>
      <c r="K1352" s="32" t="s">
        <v>254</v>
      </c>
      <c r="L1352" s="9"/>
      <c r="M1352" s="9"/>
    </row>
    <row r="1353" spans="1:16" ht="15.75" customHeight="1" x14ac:dyDescent="0.35">
      <c r="B1353" s="9"/>
      <c r="C1353" s="9"/>
      <c r="D1353" s="9"/>
      <c r="E1353" s="9"/>
      <c r="F1353" s="12"/>
      <c r="G1353" s="12"/>
      <c r="H1353" s="12"/>
      <c r="I1353" s="12"/>
      <c r="J1353" s="12"/>
      <c r="K1353" s="12"/>
      <c r="L1353" s="1"/>
    </row>
    <row r="1354" spans="1:16" ht="15.75" customHeight="1" x14ac:dyDescent="0.35">
      <c r="B1354" s="13"/>
      <c r="C1354" s="13"/>
      <c r="D1354" s="13"/>
      <c r="E1354" s="13"/>
      <c r="F1354" s="13"/>
      <c r="G1354" s="13"/>
      <c r="I1354" s="14"/>
    </row>
    <row r="1355" spans="1:16" x14ac:dyDescent="0.35">
      <c r="B1355" s="13" t="s">
        <v>5</v>
      </c>
      <c r="C1355" s="13" t="s">
        <v>1</v>
      </c>
      <c r="D1355" s="15" t="str">
        <f>VLOOKUP(A1356,Inventory!$A$4:$K$1139,7)</f>
        <v xml:space="preserve">Klatch                             </v>
      </c>
      <c r="F1355" s="13" t="s">
        <v>235</v>
      </c>
      <c r="G1355" s="16"/>
      <c r="L1355" s="17"/>
      <c r="M1355" s="17"/>
    </row>
    <row r="1356" spans="1:16" x14ac:dyDescent="0.35">
      <c r="A1356">
        <v>162</v>
      </c>
      <c r="B1356" s="5">
        <v>44929</v>
      </c>
      <c r="C1356" s="15" t="str">
        <f>VLOOKUP(A1356,Inventory!$A$4:$K$1139,2)</f>
        <v>El Salvador Las Mercedes Caturra 2020</v>
      </c>
      <c r="F1356" s="34" t="s">
        <v>279</v>
      </c>
      <c r="G1356" s="2" t="s">
        <v>270</v>
      </c>
      <c r="L1356" s="17"/>
      <c r="M1356" s="17"/>
      <c r="P1356" s="8"/>
    </row>
    <row r="1357" spans="1:16" x14ac:dyDescent="0.35">
      <c r="L1357" s="19"/>
      <c r="M1357" s="19"/>
    </row>
    <row r="1358" spans="1:16" x14ac:dyDescent="0.35">
      <c r="B1358" s="20"/>
      <c r="C1358" s="11" t="s">
        <v>240</v>
      </c>
      <c r="D1358" s="11" t="s">
        <v>272</v>
      </c>
      <c r="E1358" s="11">
        <v>364</v>
      </c>
      <c r="F1358" s="11">
        <v>371</v>
      </c>
      <c r="G1358" s="11">
        <v>379</v>
      </c>
      <c r="H1358" s="11">
        <v>389</v>
      </c>
      <c r="I1358" s="11" t="s">
        <v>312</v>
      </c>
      <c r="J1358" s="11"/>
      <c r="K1358" s="28"/>
      <c r="L1358" s="28"/>
    </row>
    <row r="1359" spans="1:16" ht="15.75" customHeight="1" x14ac:dyDescent="0.35">
      <c r="B1359" s="20" t="s">
        <v>242</v>
      </c>
      <c r="C1359" s="21"/>
      <c r="D1359" s="22" t="s">
        <v>294</v>
      </c>
      <c r="E1359" s="23" t="s">
        <v>244</v>
      </c>
      <c r="F1359" s="23" t="s">
        <v>245</v>
      </c>
      <c r="G1359" s="23" t="s">
        <v>246</v>
      </c>
      <c r="H1359" s="23" t="s">
        <v>247</v>
      </c>
      <c r="O1359" s="4"/>
    </row>
    <row r="1360" spans="1:16" ht="1" customHeight="1" x14ac:dyDescent="0.35">
      <c r="B1360" s="24" t="s">
        <v>249</v>
      </c>
      <c r="C1360" s="25"/>
      <c r="D1360" s="25"/>
      <c r="E1360" s="25">
        <v>384</v>
      </c>
      <c r="F1360" s="25">
        <v>392</v>
      </c>
      <c r="G1360" s="25">
        <v>395</v>
      </c>
      <c r="H1360" s="25"/>
      <c r="O1360" t="e">
        <f>(O1358-3*O1357)/O1359</f>
        <v>#DIV/0!</v>
      </c>
    </row>
    <row r="1361" spans="1:16" ht="15.75" customHeight="1" x14ac:dyDescent="0.35">
      <c r="B1361" s="20" t="s">
        <v>250</v>
      </c>
      <c r="C1361" s="26">
        <v>0.22569444444444445</v>
      </c>
      <c r="D1361" s="26">
        <v>0.3298611111111111</v>
      </c>
      <c r="E1361" s="26">
        <v>0.39930555555555558</v>
      </c>
      <c r="F1361" s="26">
        <f>E1361+'Lookup Tables'!$N$1</f>
        <v>0.4201388888888889</v>
      </c>
      <c r="G1361" s="26">
        <f>F1361+'Lookup Tables'!$N$1</f>
        <v>0.44097222222222221</v>
      </c>
      <c r="H1361" s="26">
        <f>G1361+'Lookup Tables'!$N$1</f>
        <v>0.46180555555555552</v>
      </c>
      <c r="N1361">
        <f>MAX(F1358:M1358)-O1361</f>
        <v>25</v>
      </c>
      <c r="O1361" t="str">
        <f>RIGHT(E1358,3)</f>
        <v>364</v>
      </c>
    </row>
    <row r="1362" spans="1:16" ht="15.75" customHeight="1" x14ac:dyDescent="0.35">
      <c r="B1362" s="20" t="s">
        <v>251</v>
      </c>
      <c r="C1362" s="27">
        <v>0.2</v>
      </c>
      <c r="D1362" s="27">
        <v>0.5</v>
      </c>
      <c r="E1362" s="27"/>
      <c r="F1362" s="27" t="s">
        <v>274</v>
      </c>
      <c r="G1362" s="27"/>
      <c r="H1362" s="27"/>
      <c r="N1362" t="str">
        <f xml:space="preserve">  N1361 &amp; " degrees this time"</f>
        <v>25 degrees this time</v>
      </c>
    </row>
    <row r="1363" spans="1:16" ht="15.75" customHeight="1" x14ac:dyDescent="0.35">
      <c r="B1363" s="20" t="s">
        <v>252</v>
      </c>
      <c r="C1363" s="27">
        <v>0.9</v>
      </c>
      <c r="D1363" s="27">
        <v>0.8</v>
      </c>
      <c r="E1363" s="27">
        <v>0.5</v>
      </c>
      <c r="F1363" s="27" t="s">
        <v>274</v>
      </c>
      <c r="G1363" s="27"/>
      <c r="H1363" s="27" t="s">
        <v>275</v>
      </c>
    </row>
    <row r="1364" spans="1:16" ht="15.75" customHeight="1" x14ac:dyDescent="0.35">
      <c r="B1364" s="20"/>
      <c r="C1364" s="30"/>
      <c r="H1364" s="13"/>
      <c r="I1364" s="13"/>
      <c r="J1364" s="35"/>
    </row>
    <row r="1365" spans="1:16" ht="15.75" customHeight="1" x14ac:dyDescent="0.35">
      <c r="C1365" s="30"/>
      <c r="G1365" s="1" t="s">
        <v>344</v>
      </c>
      <c r="K1365" s="32" t="s">
        <v>345</v>
      </c>
      <c r="L1365" s="9"/>
      <c r="M1365" s="9"/>
    </row>
    <row r="1366" spans="1:16" ht="15.75" customHeight="1" x14ac:dyDescent="0.35">
      <c r="B1366" s="20"/>
      <c r="G1366" s="1"/>
      <c r="H1366" s="1"/>
      <c r="K1366" s="32" t="s">
        <v>380</v>
      </c>
      <c r="L1366" s="9"/>
      <c r="M1366" s="9"/>
    </row>
    <row r="1367" spans="1:16" ht="15.75" customHeight="1" x14ac:dyDescent="0.35">
      <c r="B1367" s="20"/>
      <c r="G1367" s="1"/>
      <c r="H1367" s="1"/>
      <c r="K1367" s="32" t="s">
        <v>277</v>
      </c>
      <c r="L1367" s="9"/>
      <c r="M1367" s="9"/>
    </row>
    <row r="1368" spans="1:16" ht="15.75" customHeight="1" x14ac:dyDescent="0.35">
      <c r="B1368" s="9"/>
      <c r="C1368" s="9"/>
      <c r="D1368" s="9"/>
      <c r="E1368" s="9"/>
      <c r="F1368" s="12"/>
      <c r="G1368" s="12"/>
      <c r="H1368" s="12"/>
      <c r="I1368" s="12"/>
      <c r="J1368" s="12"/>
      <c r="K1368" s="12"/>
      <c r="L1368" s="1"/>
    </row>
    <row r="1369" spans="1:16" ht="15.75" customHeight="1" x14ac:dyDescent="0.35">
      <c r="B1369" s="13"/>
      <c r="C1369" s="13"/>
      <c r="D1369" s="13"/>
      <c r="E1369" s="13"/>
      <c r="F1369" s="33" t="s">
        <v>381</v>
      </c>
      <c r="G1369" s="13"/>
      <c r="I1369" s="14"/>
    </row>
    <row r="1370" spans="1:16" x14ac:dyDescent="0.35">
      <c r="B1370" s="13" t="s">
        <v>5</v>
      </c>
      <c r="C1370" s="13" t="s">
        <v>1</v>
      </c>
      <c r="D1370" s="15" t="str">
        <f>VLOOKUP(A1371,Inventory!$A$4:$K$1139,7)</f>
        <v xml:space="preserve">Sweet Marias                       </v>
      </c>
      <c r="F1370" s="13" t="s">
        <v>235</v>
      </c>
      <c r="G1370" s="16"/>
      <c r="H1370" s="14" t="s">
        <v>236</v>
      </c>
      <c r="L1370" s="17"/>
      <c r="M1370" s="17"/>
    </row>
    <row r="1371" spans="1:16" x14ac:dyDescent="0.35">
      <c r="A1371">
        <v>156</v>
      </c>
      <c r="B1371" s="5">
        <v>44924</v>
      </c>
      <c r="C1371" s="15" t="str">
        <f>VLOOKUP(A1371,Inventory!$A$4:$K$1139,2)</f>
        <v>Rwanda Nyamasheke 2020 SWP Decaf</v>
      </c>
      <c r="F1371" s="18" t="s">
        <v>237</v>
      </c>
      <c r="G1371" s="2" t="s">
        <v>238</v>
      </c>
      <c r="L1371" s="17"/>
      <c r="M1371" s="17"/>
      <c r="P1371" s="8"/>
    </row>
    <row r="1372" spans="1:16" x14ac:dyDescent="0.35">
      <c r="J1372" s="1" t="s">
        <v>16</v>
      </c>
      <c r="L1372" s="19"/>
      <c r="M1372" s="19"/>
    </row>
    <row r="1373" spans="1:16" x14ac:dyDescent="0.35">
      <c r="C1373" s="11" t="s">
        <v>240</v>
      </c>
      <c r="D1373" s="11" t="s">
        <v>241</v>
      </c>
      <c r="E1373" s="11">
        <v>377</v>
      </c>
      <c r="F1373" s="11">
        <v>382</v>
      </c>
      <c r="G1373" s="11">
        <v>387</v>
      </c>
      <c r="H1373" s="11">
        <v>393</v>
      </c>
      <c r="I1373" s="11">
        <v>399</v>
      </c>
      <c r="J1373" s="11">
        <v>403</v>
      </c>
      <c r="K1373" s="11"/>
      <c r="L1373" s="11"/>
    </row>
    <row r="1374" spans="1:16" ht="15.75" customHeight="1" x14ac:dyDescent="0.35">
      <c r="B1374" s="20" t="s">
        <v>242</v>
      </c>
      <c r="C1374" s="21"/>
      <c r="D1374" s="22" t="s">
        <v>382</v>
      </c>
      <c r="E1374" s="23" t="s">
        <v>244</v>
      </c>
      <c r="F1374" s="23" t="s">
        <v>245</v>
      </c>
      <c r="G1374" s="23" t="s">
        <v>246</v>
      </c>
      <c r="H1374" s="23" t="s">
        <v>247</v>
      </c>
      <c r="I1374" s="23" t="s">
        <v>259</v>
      </c>
      <c r="J1374" s="23" t="s">
        <v>260</v>
      </c>
      <c r="O1374" s="4"/>
    </row>
    <row r="1375" spans="1:16" ht="1" customHeight="1" x14ac:dyDescent="0.35">
      <c r="B1375" s="24" t="s">
        <v>249</v>
      </c>
      <c r="C1375" s="25">
        <v>320</v>
      </c>
      <c r="D1375" s="25">
        <v>350</v>
      </c>
      <c r="E1375" s="25">
        <v>377</v>
      </c>
      <c r="F1375" s="25">
        <v>384</v>
      </c>
      <c r="G1375" s="25">
        <v>388</v>
      </c>
      <c r="H1375" s="25">
        <v>392</v>
      </c>
      <c r="I1375" s="25">
        <v>395</v>
      </c>
      <c r="J1375" s="25">
        <v>415</v>
      </c>
      <c r="O1375" t="e">
        <f>(O1373-3*O1372)/O1374</f>
        <v>#DIV/0!</v>
      </c>
    </row>
    <row r="1376" spans="1:16" ht="15.75" customHeight="1" x14ac:dyDescent="0.35">
      <c r="B1376" s="20" t="s">
        <v>250</v>
      </c>
      <c r="C1376" s="26">
        <v>0.25694444444444448</v>
      </c>
      <c r="D1376" s="26">
        <v>0.35416666666666669</v>
      </c>
      <c r="E1376" s="26">
        <v>0.49305555555555558</v>
      </c>
      <c r="F1376" s="26">
        <f>E1376+'Lookup Tables'!$N$1</f>
        <v>0.51388888888888895</v>
      </c>
      <c r="G1376" s="26">
        <f>F1376+'Lookup Tables'!$N$1</f>
        <v>0.53472222222222232</v>
      </c>
      <c r="H1376" s="26">
        <f>G1376+'Lookup Tables'!$N$1</f>
        <v>0.55555555555555569</v>
      </c>
      <c r="I1376" s="26">
        <f>H1376+'Lookup Tables'!$N$1</f>
        <v>0.57638888888888906</v>
      </c>
      <c r="J1376" s="26">
        <f>I1376+'Lookup Tables'!$M$1</f>
        <v>0.58680555555555569</v>
      </c>
      <c r="N1376">
        <f>MAX(F1373:M1373)-O1376</f>
        <v>26</v>
      </c>
      <c r="O1376" t="str">
        <f>RIGHT(E1373,3)</f>
        <v>377</v>
      </c>
    </row>
    <row r="1377" spans="1:16" ht="15.75" customHeight="1" x14ac:dyDescent="0.35">
      <c r="B1377" s="20" t="s">
        <v>251</v>
      </c>
      <c r="C1377" s="27">
        <v>0.2</v>
      </c>
      <c r="D1377" s="27">
        <v>0.5</v>
      </c>
      <c r="E1377" s="27"/>
      <c r="F1377" s="27"/>
      <c r="G1377" s="27"/>
      <c r="H1377" s="27"/>
      <c r="I1377" s="27"/>
      <c r="J1377" s="27"/>
      <c r="N1377" t="str">
        <f xml:space="preserve">  N1376 &amp; " degrees this time"</f>
        <v>26 degrees this time</v>
      </c>
    </row>
    <row r="1378" spans="1:16" ht="15.75" customHeight="1" x14ac:dyDescent="0.35">
      <c r="B1378" s="20" t="s">
        <v>252</v>
      </c>
      <c r="C1378" s="27">
        <v>0.9</v>
      </c>
      <c r="D1378" s="27">
        <v>0.7</v>
      </c>
      <c r="E1378" s="27">
        <v>0.6</v>
      </c>
      <c r="F1378" s="27"/>
      <c r="G1378" s="27">
        <v>0.4</v>
      </c>
      <c r="H1378" s="27"/>
      <c r="I1378" s="27"/>
      <c r="J1378" s="27"/>
    </row>
    <row r="1379" spans="1:16" ht="15.75" customHeight="1" x14ac:dyDescent="0.35">
      <c r="B1379" s="20"/>
      <c r="D1379" s="11"/>
      <c r="E1379" s="11"/>
      <c r="F1379" s="28"/>
      <c r="H1379" s="1"/>
      <c r="I1379" s="1"/>
    </row>
    <row r="1380" spans="1:16" ht="15.75" customHeight="1" x14ac:dyDescent="0.35">
      <c r="G1380" s="1" t="s">
        <v>383</v>
      </c>
      <c r="K1380" s="32"/>
      <c r="L1380" s="9"/>
      <c r="M1380" s="9"/>
    </row>
    <row r="1381" spans="1:16" ht="15.75" customHeight="1" x14ac:dyDescent="0.35">
      <c r="B1381" s="20"/>
      <c r="G1381" s="1"/>
      <c r="H1381" s="1"/>
      <c r="K1381" s="9"/>
      <c r="L1381" s="9"/>
      <c r="M1381" s="9"/>
    </row>
    <row r="1382" spans="1:16" ht="15.75" customHeight="1" x14ac:dyDescent="0.35">
      <c r="B1382" s="20"/>
      <c r="G1382" s="1"/>
      <c r="H1382" s="1"/>
      <c r="K1382" s="9" t="s">
        <v>254</v>
      </c>
      <c r="L1382" s="9"/>
      <c r="M1382" s="9"/>
    </row>
    <row r="1383" spans="1:16" ht="15.75" customHeight="1" x14ac:dyDescent="0.35">
      <c r="B1383" s="9"/>
      <c r="C1383" s="9"/>
      <c r="D1383" s="9"/>
      <c r="E1383" s="9"/>
      <c r="F1383" s="12"/>
      <c r="G1383" s="12"/>
      <c r="H1383" s="12"/>
      <c r="I1383" s="12"/>
      <c r="J1383" s="12"/>
      <c r="K1383" s="12"/>
      <c r="L1383" s="1"/>
    </row>
    <row r="1384" spans="1:16" ht="15.75" customHeight="1" x14ac:dyDescent="0.35">
      <c r="B1384" s="13"/>
      <c r="C1384" s="13"/>
      <c r="D1384" s="15"/>
      <c r="F1384" s="33" t="s">
        <v>381</v>
      </c>
      <c r="H1384" s="14" t="s">
        <v>255</v>
      </c>
      <c r="I1384" s="14"/>
    </row>
    <row r="1385" spans="1:16" x14ac:dyDescent="0.35">
      <c r="B1385" s="13" t="s">
        <v>5</v>
      </c>
      <c r="C1385" s="13" t="s">
        <v>1</v>
      </c>
      <c r="D1385" s="15" t="str">
        <f>VLOOKUP(A1386,Inventory!$A$4:$K$1139,7)</f>
        <v xml:space="preserve">Sweet Marias                       </v>
      </c>
      <c r="F1385" s="13" t="s">
        <v>235</v>
      </c>
      <c r="G1385" s="16"/>
      <c r="H1385" s="14" t="s">
        <v>256</v>
      </c>
      <c r="L1385" s="17"/>
      <c r="M1385" s="17"/>
    </row>
    <row r="1386" spans="1:16" x14ac:dyDescent="0.35">
      <c r="A1386">
        <v>156</v>
      </c>
      <c r="B1386" s="5">
        <v>44924</v>
      </c>
      <c r="C1386" s="15" t="str">
        <f>VLOOKUP(A1386,Inventory!$A$4:$K$1139,2)</f>
        <v>Rwanda Nyamasheke 2020 SWP Decaf</v>
      </c>
      <c r="F1386" s="18" t="s">
        <v>257</v>
      </c>
      <c r="G1386" s="2" t="s">
        <v>238</v>
      </c>
      <c r="L1386" s="17"/>
      <c r="M1386" s="17"/>
      <c r="P1386" s="8"/>
    </row>
    <row r="1387" spans="1:16" x14ac:dyDescent="0.35">
      <c r="K1387" s="12" t="s">
        <v>384</v>
      </c>
      <c r="L1387" s="54"/>
      <c r="M1387" s="9"/>
    </row>
    <row r="1388" spans="1:16" x14ac:dyDescent="0.35">
      <c r="C1388" s="11" t="s">
        <v>240</v>
      </c>
      <c r="D1388" s="11" t="s">
        <v>241</v>
      </c>
      <c r="E1388" s="11">
        <v>377</v>
      </c>
      <c r="F1388" s="11">
        <v>382</v>
      </c>
      <c r="G1388" s="11">
        <v>389</v>
      </c>
      <c r="H1388" s="11">
        <v>399</v>
      </c>
      <c r="I1388" s="11"/>
      <c r="J1388" s="11"/>
      <c r="K1388" s="11"/>
      <c r="L1388" s="11"/>
    </row>
    <row r="1389" spans="1:16" ht="15.75" customHeight="1" x14ac:dyDescent="0.35">
      <c r="B1389" s="20" t="s">
        <v>242</v>
      </c>
      <c r="C1389" s="30"/>
      <c r="D1389" s="30"/>
      <c r="E1389" s="23" t="s">
        <v>244</v>
      </c>
      <c r="F1389" s="23" t="s">
        <v>245</v>
      </c>
      <c r="G1389" s="23" t="s">
        <v>246</v>
      </c>
      <c r="H1389" s="23" t="s">
        <v>247</v>
      </c>
      <c r="I1389" s="23" t="s">
        <v>259</v>
      </c>
      <c r="J1389" s="23" t="s">
        <v>260</v>
      </c>
      <c r="K1389" s="23" t="s">
        <v>261</v>
      </c>
      <c r="O1389" s="4"/>
    </row>
    <row r="1390" spans="1:16" ht="1" customHeight="1" x14ac:dyDescent="0.35">
      <c r="B1390" s="24" t="s">
        <v>249</v>
      </c>
      <c r="C1390" s="25">
        <v>320</v>
      </c>
      <c r="D1390" s="25">
        <v>350</v>
      </c>
      <c r="E1390" s="25">
        <v>377</v>
      </c>
      <c r="F1390" s="25">
        <v>384</v>
      </c>
      <c r="G1390" s="25">
        <v>388</v>
      </c>
      <c r="H1390" s="25">
        <v>392</v>
      </c>
      <c r="I1390" s="25">
        <v>395</v>
      </c>
      <c r="J1390" s="25">
        <v>415</v>
      </c>
      <c r="K1390" s="25">
        <v>415</v>
      </c>
      <c r="O1390" t="e">
        <f>(O1388-3*O1387)/O1389</f>
        <v>#DIV/0!</v>
      </c>
    </row>
    <row r="1391" spans="1:16" ht="15.75" customHeight="1" x14ac:dyDescent="0.35">
      <c r="B1391" s="20" t="s">
        <v>250</v>
      </c>
      <c r="C1391" s="26">
        <v>0.23958333333333334</v>
      </c>
      <c r="D1391" s="26">
        <v>0.3298611111111111</v>
      </c>
      <c r="E1391" s="26">
        <v>0.46875</v>
      </c>
      <c r="F1391" s="26">
        <f>E1391+'Lookup Tables'!$N$1</f>
        <v>0.48958333333333331</v>
      </c>
      <c r="G1391" s="26">
        <f>F1391+'Lookup Tables'!$N$1</f>
        <v>0.51041666666666663</v>
      </c>
      <c r="H1391" s="26">
        <f>G1391+'Lookup Tables'!$N$1</f>
        <v>0.53125</v>
      </c>
      <c r="I1391" s="26">
        <f>H1391+'Lookup Tables'!$N$1</f>
        <v>0.55208333333333337</v>
      </c>
      <c r="J1391" s="26">
        <f>I1391+'Lookup Tables'!$M$1</f>
        <v>0.5625</v>
      </c>
      <c r="K1391" s="26">
        <f>J1391+'Lookup Tables'!$M$1</f>
        <v>0.57291666666666663</v>
      </c>
      <c r="N1391">
        <f>MAX(F1388:M1388)-O1391</f>
        <v>22</v>
      </c>
      <c r="O1391" t="str">
        <f>RIGHT(E1388,3)</f>
        <v>377</v>
      </c>
    </row>
    <row r="1392" spans="1:16" ht="15.75" customHeight="1" x14ac:dyDescent="0.35">
      <c r="B1392" s="20" t="s">
        <v>251</v>
      </c>
      <c r="C1392" s="27">
        <v>0.2</v>
      </c>
      <c r="D1392" s="27">
        <v>0.5</v>
      </c>
      <c r="E1392" s="27"/>
      <c r="F1392" s="27"/>
      <c r="G1392" s="27"/>
      <c r="H1392" s="27"/>
      <c r="I1392" s="27"/>
      <c r="J1392" s="27"/>
      <c r="K1392" s="25"/>
      <c r="N1392" t="str">
        <f xml:space="preserve">  N1391 &amp; " degrees this time"</f>
        <v>22 degrees this time</v>
      </c>
    </row>
    <row r="1393" spans="1:16" ht="15.75" customHeight="1" x14ac:dyDescent="0.35">
      <c r="B1393" s="20" t="s">
        <v>252</v>
      </c>
      <c r="C1393" s="27">
        <v>0.9</v>
      </c>
      <c r="D1393" s="27">
        <v>0.7</v>
      </c>
      <c r="E1393" s="27">
        <v>0.6</v>
      </c>
      <c r="F1393" s="27"/>
      <c r="G1393" s="27"/>
      <c r="H1393" s="27"/>
      <c r="I1393" s="27"/>
      <c r="J1393" s="27"/>
      <c r="K1393" s="27"/>
    </row>
    <row r="1394" spans="1:16" ht="15.75" customHeight="1" x14ac:dyDescent="0.35">
      <c r="B1394" s="20"/>
      <c r="D1394" s="11"/>
      <c r="E1394" s="11"/>
      <c r="F1394" s="28"/>
      <c r="H1394" s="1"/>
    </row>
    <row r="1395" spans="1:16" ht="15.75" customHeight="1" x14ac:dyDescent="0.35">
      <c r="B1395" s="1" t="s">
        <v>385</v>
      </c>
      <c r="F1395" t="s">
        <v>263</v>
      </c>
      <c r="G1395" s="1"/>
      <c r="K1395" s="9"/>
      <c r="L1395" s="9"/>
      <c r="M1395" s="9"/>
    </row>
    <row r="1396" spans="1:16" ht="15.75" customHeight="1" x14ac:dyDescent="0.35">
      <c r="B1396" s="20" t="s">
        <v>264</v>
      </c>
      <c r="D1396" s="29"/>
      <c r="F1396" t="s">
        <v>265</v>
      </c>
      <c r="G1396" s="1"/>
      <c r="H1396" s="1"/>
      <c r="K1396" s="9" t="s">
        <v>386</v>
      </c>
      <c r="L1396" s="9"/>
      <c r="M1396" s="9"/>
    </row>
    <row r="1397" spans="1:16" ht="15.75" customHeight="1" x14ac:dyDescent="0.35">
      <c r="B1397" s="20" t="s">
        <v>267</v>
      </c>
      <c r="F1397" t="s">
        <v>268</v>
      </c>
      <c r="G1397" s="1"/>
      <c r="H1397" s="1"/>
      <c r="K1397" s="9" t="s">
        <v>254</v>
      </c>
      <c r="L1397" s="9"/>
      <c r="M1397" s="9"/>
    </row>
    <row r="1398" spans="1:16" ht="15.75" customHeight="1" x14ac:dyDescent="0.35">
      <c r="B1398" s="9"/>
      <c r="C1398" s="9"/>
      <c r="D1398" s="9"/>
      <c r="E1398" s="9"/>
      <c r="F1398" s="12"/>
      <c r="G1398" s="12"/>
      <c r="H1398" s="12"/>
      <c r="I1398" s="12"/>
      <c r="J1398" s="12"/>
      <c r="K1398" s="12"/>
      <c r="L1398" s="1"/>
    </row>
    <row r="1399" spans="1:16" ht="15.75" customHeight="1" x14ac:dyDescent="0.35">
      <c r="B1399" s="13"/>
      <c r="C1399" s="13"/>
      <c r="D1399" s="13"/>
      <c r="E1399" s="13"/>
      <c r="F1399" s="33" t="s">
        <v>278</v>
      </c>
      <c r="G1399" s="13"/>
      <c r="I1399" s="14"/>
    </row>
    <row r="1400" spans="1:16" x14ac:dyDescent="0.35">
      <c r="B1400" s="13" t="s">
        <v>5</v>
      </c>
      <c r="C1400" s="13" t="s">
        <v>1</v>
      </c>
      <c r="D1400" s="15" t="str">
        <f>VLOOKUP(A1401,Inventory!$A$4:$K$1139,7)</f>
        <v xml:space="preserve">Sweet Marias                       </v>
      </c>
      <c r="F1400" s="13" t="s">
        <v>235</v>
      </c>
      <c r="G1400" s="16"/>
      <c r="H1400" s="14" t="s">
        <v>236</v>
      </c>
      <c r="L1400" s="17"/>
      <c r="M1400" s="17"/>
    </row>
    <row r="1401" spans="1:16" x14ac:dyDescent="0.35">
      <c r="A1401">
        <v>170</v>
      </c>
      <c r="B1401" s="5">
        <v>44924</v>
      </c>
      <c r="C1401" s="15" t="str">
        <f>VLOOKUP(A1401,Inventory!$A$4:$K$1139,2)</f>
        <v>Guatemala Cafeteros SWP Decaf 2021</v>
      </c>
      <c r="F1401" s="18" t="s">
        <v>237</v>
      </c>
      <c r="G1401" s="2" t="s">
        <v>238</v>
      </c>
      <c r="L1401" s="17"/>
      <c r="M1401" s="17"/>
      <c r="P1401" s="8"/>
    </row>
    <row r="1402" spans="1:16" x14ac:dyDescent="0.35">
      <c r="I1402" s="2" t="s">
        <v>239</v>
      </c>
      <c r="J1402" s="1" t="s">
        <v>16</v>
      </c>
      <c r="L1402" s="19"/>
      <c r="M1402" s="19"/>
    </row>
    <row r="1403" spans="1:16" x14ac:dyDescent="0.35">
      <c r="C1403" s="11" t="s">
        <v>240</v>
      </c>
      <c r="D1403" s="11" t="s">
        <v>241</v>
      </c>
      <c r="E1403" s="11">
        <v>377</v>
      </c>
      <c r="F1403" s="11">
        <v>381</v>
      </c>
      <c r="G1403" s="11">
        <v>386</v>
      </c>
      <c r="H1403" s="11">
        <v>390</v>
      </c>
      <c r="I1403" s="11">
        <v>395</v>
      </c>
      <c r="J1403" s="11">
        <v>399</v>
      </c>
      <c r="K1403" s="11"/>
      <c r="L1403" s="11"/>
    </row>
    <row r="1404" spans="1:16" ht="15.75" customHeight="1" x14ac:dyDescent="0.35">
      <c r="B1404" s="20" t="s">
        <v>242</v>
      </c>
      <c r="C1404" s="21"/>
      <c r="D1404" s="22" t="s">
        <v>243</v>
      </c>
      <c r="E1404" s="23" t="s">
        <v>244</v>
      </c>
      <c r="F1404" s="23" t="s">
        <v>245</v>
      </c>
      <c r="G1404" s="23" t="s">
        <v>246</v>
      </c>
      <c r="H1404" s="23" t="s">
        <v>247</v>
      </c>
      <c r="I1404" s="23" t="s">
        <v>259</v>
      </c>
      <c r="J1404" s="23" t="s">
        <v>261</v>
      </c>
      <c r="O1404" s="4"/>
    </row>
    <row r="1405" spans="1:16" ht="1" customHeight="1" x14ac:dyDescent="0.35">
      <c r="B1405" s="24" t="s">
        <v>249</v>
      </c>
      <c r="C1405" s="25">
        <v>320</v>
      </c>
      <c r="D1405" s="25">
        <v>350</v>
      </c>
      <c r="E1405" s="25">
        <v>377</v>
      </c>
      <c r="F1405" s="25">
        <v>384</v>
      </c>
      <c r="G1405" s="25">
        <v>388</v>
      </c>
      <c r="H1405" s="25">
        <v>392</v>
      </c>
      <c r="I1405" s="25">
        <v>392</v>
      </c>
      <c r="J1405" s="25">
        <v>392</v>
      </c>
      <c r="O1405" t="e">
        <f>(O1403-3*O1402)/O1404</f>
        <v>#DIV/0!</v>
      </c>
    </row>
    <row r="1406" spans="1:16" ht="15.75" customHeight="1" x14ac:dyDescent="0.35">
      <c r="B1406" s="20" t="s">
        <v>250</v>
      </c>
      <c r="C1406" s="26">
        <v>0.2673611111111111</v>
      </c>
      <c r="D1406" s="26">
        <v>0.36805555555555558</v>
      </c>
      <c r="E1406" s="26">
        <v>0.50347222222222221</v>
      </c>
      <c r="F1406" s="26">
        <f>E1406+'Lookup Tables'!$N$1</f>
        <v>0.52430555555555558</v>
      </c>
      <c r="G1406" s="26">
        <f>F1406+'Lookup Tables'!$N$1</f>
        <v>0.54513888888888895</v>
      </c>
      <c r="H1406" s="26">
        <f>G1406+'Lookup Tables'!$N$1</f>
        <v>0.56597222222222232</v>
      </c>
      <c r="I1406" s="26">
        <f>H1406+'Lookup Tables'!$N$1</f>
        <v>0.58680555555555569</v>
      </c>
      <c r="J1406" s="26">
        <f>I1406+'Lookup Tables'!$N$1</f>
        <v>0.60763888888888906</v>
      </c>
      <c r="N1406">
        <f>MAX(F1403:M1403)-O1406</f>
        <v>22</v>
      </c>
      <c r="O1406" t="str">
        <f>RIGHT(E1403,3)</f>
        <v>377</v>
      </c>
    </row>
    <row r="1407" spans="1:16" ht="15.75" customHeight="1" x14ac:dyDescent="0.35">
      <c r="B1407" s="20" t="s">
        <v>251</v>
      </c>
      <c r="C1407" s="27">
        <v>0.2</v>
      </c>
      <c r="D1407" s="27">
        <v>0.5</v>
      </c>
      <c r="E1407" s="27"/>
      <c r="F1407" s="27"/>
      <c r="G1407" s="27"/>
      <c r="H1407" s="27"/>
      <c r="I1407" s="27"/>
      <c r="J1407" s="27"/>
      <c r="N1407" t="str">
        <f xml:space="preserve">  N1406 &amp; " degrees this time"</f>
        <v>22 degrees this time</v>
      </c>
    </row>
    <row r="1408" spans="1:16" ht="15.75" customHeight="1" x14ac:dyDescent="0.35">
      <c r="B1408" s="20" t="s">
        <v>252</v>
      </c>
      <c r="C1408" s="27">
        <v>0.9</v>
      </c>
      <c r="D1408" s="27">
        <v>0.7</v>
      </c>
      <c r="E1408" s="27">
        <v>0.6</v>
      </c>
      <c r="F1408" s="27"/>
      <c r="G1408" s="27"/>
      <c r="H1408" s="27"/>
      <c r="I1408" s="27"/>
      <c r="J1408" s="27"/>
    </row>
    <row r="1409" spans="1:16" ht="15.75" customHeight="1" x14ac:dyDescent="0.35">
      <c r="B1409" s="20"/>
      <c r="D1409" s="11"/>
      <c r="E1409" s="11"/>
      <c r="F1409" s="28"/>
      <c r="H1409" s="1"/>
      <c r="I1409" s="1"/>
    </row>
    <row r="1410" spans="1:16" ht="15.75" customHeight="1" x14ac:dyDescent="0.35">
      <c r="C1410" s="1"/>
      <c r="G1410" s="1" t="s">
        <v>253</v>
      </c>
      <c r="K1410" s="12" t="s">
        <v>387</v>
      </c>
      <c r="L1410" s="9"/>
      <c r="M1410" s="9"/>
    </row>
    <row r="1411" spans="1:16" ht="15.75" customHeight="1" x14ac:dyDescent="0.35">
      <c r="B1411" s="20"/>
      <c r="G1411" s="1"/>
      <c r="H1411" s="1"/>
      <c r="K1411" s="9"/>
      <c r="L1411" s="9"/>
      <c r="M1411" s="9"/>
    </row>
    <row r="1412" spans="1:16" ht="15.75" customHeight="1" x14ac:dyDescent="0.35">
      <c r="B1412" s="20"/>
      <c r="G1412" s="1"/>
      <c r="H1412" s="1"/>
      <c r="K1412" s="9" t="s">
        <v>254</v>
      </c>
      <c r="L1412" s="9"/>
      <c r="M1412" s="9"/>
    </row>
    <row r="1413" spans="1:16" ht="15.75" customHeight="1" x14ac:dyDescent="0.35">
      <c r="B1413" s="9"/>
      <c r="C1413" s="9"/>
      <c r="D1413" s="9"/>
      <c r="E1413" s="9"/>
      <c r="F1413" s="12"/>
      <c r="G1413" s="12"/>
      <c r="H1413" s="12"/>
      <c r="I1413" s="12"/>
      <c r="J1413" s="12"/>
      <c r="K1413" s="12"/>
      <c r="L1413" s="1"/>
    </row>
    <row r="1414" spans="1:16" ht="15.75" customHeight="1" x14ac:dyDescent="0.35">
      <c r="B1414" s="13"/>
      <c r="C1414" s="13"/>
      <c r="D1414" s="15"/>
      <c r="F1414" s="33" t="s">
        <v>278</v>
      </c>
      <c r="H1414" s="14" t="s">
        <v>255</v>
      </c>
      <c r="I1414" s="14"/>
    </row>
    <row r="1415" spans="1:16" x14ac:dyDescent="0.35">
      <c r="B1415" s="13" t="s">
        <v>5</v>
      </c>
      <c r="C1415" s="13" t="s">
        <v>1</v>
      </c>
      <c r="D1415" s="15" t="str">
        <f>VLOOKUP(A1416,Inventory!$A$4:$K$1139,7)</f>
        <v xml:space="preserve">Sweet Marias                       </v>
      </c>
      <c r="F1415" s="13" t="s">
        <v>235</v>
      </c>
      <c r="G1415" s="16"/>
      <c r="H1415" s="14" t="s">
        <v>256</v>
      </c>
    </row>
    <row r="1416" spans="1:16" x14ac:dyDescent="0.35">
      <c r="A1416">
        <v>170</v>
      </c>
      <c r="B1416" s="5">
        <v>44924</v>
      </c>
      <c r="C1416" s="15" t="str">
        <f>VLOOKUP(A1416,Inventory!$A$4:$K$1139,2)</f>
        <v>Guatemala Cafeteros SWP Decaf 2021</v>
      </c>
      <c r="F1416" s="18" t="s">
        <v>257</v>
      </c>
      <c r="G1416" s="2" t="s">
        <v>238</v>
      </c>
      <c r="P1416" s="8"/>
    </row>
    <row r="1417" spans="1:16" x14ac:dyDescent="0.35">
      <c r="H1417" s="2" t="s">
        <v>258</v>
      </c>
    </row>
    <row r="1418" spans="1:16" x14ac:dyDescent="0.35">
      <c r="C1418" s="11" t="s">
        <v>240</v>
      </c>
      <c r="D1418" s="11" t="s">
        <v>241</v>
      </c>
      <c r="E1418" s="11">
        <v>370</v>
      </c>
      <c r="F1418" s="11">
        <v>375</v>
      </c>
      <c r="G1418" s="11">
        <v>381</v>
      </c>
      <c r="H1418" s="11">
        <v>392</v>
      </c>
      <c r="I1418" s="11"/>
      <c r="J1418" s="11"/>
      <c r="K1418" s="11"/>
      <c r="L1418" s="11"/>
    </row>
    <row r="1419" spans="1:16" ht="15.75" customHeight="1" x14ac:dyDescent="0.35">
      <c r="B1419" s="20" t="s">
        <v>242</v>
      </c>
      <c r="C1419" s="21"/>
      <c r="D1419" s="22" t="s">
        <v>294</v>
      </c>
      <c r="E1419" s="23" t="s">
        <v>244</v>
      </c>
      <c r="F1419" s="23" t="s">
        <v>245</v>
      </c>
      <c r="G1419" s="23" t="s">
        <v>246</v>
      </c>
      <c r="H1419" s="23" t="s">
        <v>247</v>
      </c>
      <c r="I1419" s="23" t="s">
        <v>259</v>
      </c>
      <c r="J1419" s="23" t="s">
        <v>260</v>
      </c>
      <c r="K1419" s="23" t="s">
        <v>261</v>
      </c>
      <c r="O1419" s="4"/>
    </row>
    <row r="1420" spans="1:16" ht="1" customHeight="1" x14ac:dyDescent="0.35">
      <c r="B1420" s="24" t="s">
        <v>249</v>
      </c>
      <c r="C1420" s="25">
        <v>320</v>
      </c>
      <c r="D1420" s="25">
        <v>350</v>
      </c>
      <c r="E1420" s="25">
        <v>377</v>
      </c>
      <c r="F1420" s="25">
        <v>384</v>
      </c>
      <c r="G1420" s="25">
        <v>388</v>
      </c>
      <c r="H1420" s="25">
        <v>392</v>
      </c>
      <c r="I1420" s="25">
        <v>395</v>
      </c>
      <c r="J1420" s="25">
        <v>415</v>
      </c>
      <c r="K1420" s="25">
        <v>415</v>
      </c>
      <c r="O1420" t="e">
        <f>(O1418-3*O1417)/O1419</f>
        <v>#DIV/0!</v>
      </c>
    </row>
    <row r="1421" spans="1:16" ht="15.75" customHeight="1" x14ac:dyDescent="0.35">
      <c r="B1421" s="20" t="s">
        <v>250</v>
      </c>
      <c r="C1421" s="26">
        <v>0.25347222222222221</v>
      </c>
      <c r="D1421" s="26">
        <v>0.34027777777777773</v>
      </c>
      <c r="E1421" s="26">
        <v>0.47916666666666669</v>
      </c>
      <c r="F1421" s="26">
        <f>E1421+'Lookup Tables'!$N$1</f>
        <v>0.5</v>
      </c>
      <c r="G1421" s="26">
        <f>F1421+'Lookup Tables'!$N$1</f>
        <v>0.52083333333333337</v>
      </c>
      <c r="H1421" s="26">
        <f>G1421+'Lookup Tables'!$N$1</f>
        <v>0.54166666666666674</v>
      </c>
      <c r="I1421" s="26">
        <f>H1421+'Lookup Tables'!$N$1</f>
        <v>0.56250000000000011</v>
      </c>
      <c r="J1421" s="26">
        <f>I1421+'Lookup Tables'!$M$1</f>
        <v>0.57291666666666674</v>
      </c>
      <c r="K1421" s="26">
        <f>J1421+'Lookup Tables'!$M$1</f>
        <v>0.58333333333333337</v>
      </c>
      <c r="N1421">
        <f>MAX(F1418:M1418)-O1421</f>
        <v>22</v>
      </c>
      <c r="O1421" t="str">
        <f>RIGHT(E1418,3)</f>
        <v>370</v>
      </c>
    </row>
    <row r="1422" spans="1:16" ht="15.75" customHeight="1" x14ac:dyDescent="0.35">
      <c r="B1422" s="20" t="s">
        <v>251</v>
      </c>
      <c r="C1422" s="27">
        <v>0.2</v>
      </c>
      <c r="D1422" s="27">
        <v>0.5</v>
      </c>
      <c r="E1422" s="27"/>
      <c r="F1422" s="27"/>
      <c r="G1422" s="27"/>
      <c r="H1422" s="27"/>
      <c r="I1422" s="27"/>
      <c r="J1422" s="27"/>
      <c r="K1422" s="25"/>
      <c r="N1422" t="str">
        <f xml:space="preserve">  N1421 &amp; " degrees this time"</f>
        <v>22 degrees this time</v>
      </c>
    </row>
    <row r="1423" spans="1:16" ht="15.75" customHeight="1" x14ac:dyDescent="0.35">
      <c r="B1423" s="20" t="s">
        <v>252</v>
      </c>
      <c r="C1423" s="27">
        <v>0.9</v>
      </c>
      <c r="D1423" s="27">
        <v>0.7</v>
      </c>
      <c r="E1423" s="27">
        <v>0.6</v>
      </c>
      <c r="F1423" s="27"/>
      <c r="G1423" s="27"/>
      <c r="H1423" s="27"/>
      <c r="I1423" s="27"/>
      <c r="J1423" s="27"/>
      <c r="K1423" s="27"/>
    </row>
    <row r="1424" spans="1:16" ht="15.75" customHeight="1" x14ac:dyDescent="0.35">
      <c r="B1424" s="20"/>
      <c r="D1424" s="11"/>
      <c r="E1424" s="11"/>
      <c r="F1424" s="28"/>
      <c r="H1424" s="1"/>
    </row>
    <row r="1425" spans="1:16" ht="15.75" customHeight="1" x14ac:dyDescent="0.35">
      <c r="B1425" s="1" t="s">
        <v>262</v>
      </c>
      <c r="F1425" t="s">
        <v>263</v>
      </c>
      <c r="G1425" s="1"/>
      <c r="K1425" s="12"/>
      <c r="L1425" s="9"/>
      <c r="M1425" s="9"/>
    </row>
    <row r="1426" spans="1:16" ht="15.75" customHeight="1" x14ac:dyDescent="0.35">
      <c r="B1426" s="20" t="s">
        <v>264</v>
      </c>
      <c r="D1426" s="29"/>
      <c r="F1426" t="s">
        <v>265</v>
      </c>
      <c r="G1426" s="1"/>
      <c r="H1426" s="1"/>
      <c r="K1426" s="9" t="s">
        <v>266</v>
      </c>
      <c r="L1426" s="9"/>
      <c r="M1426" s="9"/>
    </row>
    <row r="1427" spans="1:16" ht="15.75" customHeight="1" x14ac:dyDescent="0.35">
      <c r="B1427" s="20" t="s">
        <v>267</v>
      </c>
      <c r="F1427" t="s">
        <v>268</v>
      </c>
      <c r="G1427" s="1"/>
      <c r="H1427" s="1"/>
      <c r="K1427" s="9" t="s">
        <v>254</v>
      </c>
      <c r="L1427" s="9"/>
      <c r="M1427" s="9"/>
    </row>
    <row r="1428" spans="1:16" ht="15.75" customHeight="1" x14ac:dyDescent="0.35">
      <c r="B1428" s="9"/>
      <c r="C1428" s="9"/>
      <c r="D1428" s="9"/>
      <c r="E1428" s="9"/>
      <c r="F1428" s="12"/>
      <c r="G1428" s="12"/>
      <c r="H1428" s="12"/>
      <c r="I1428" s="12"/>
      <c r="J1428" s="12"/>
      <c r="K1428" s="12"/>
      <c r="L1428" s="1"/>
    </row>
    <row r="1429" spans="1:16" ht="15.75" customHeight="1" x14ac:dyDescent="0.35">
      <c r="B1429" s="13"/>
      <c r="C1429" s="13"/>
      <c r="D1429" s="15"/>
      <c r="H1429" s="14"/>
    </row>
    <row r="1430" spans="1:16" x14ac:dyDescent="0.35">
      <c r="B1430" s="13" t="s">
        <v>5</v>
      </c>
      <c r="C1430" s="13" t="s">
        <v>1</v>
      </c>
      <c r="D1430" s="15" t="str">
        <f>VLOOKUP(A1431,Inventory!$A$4:$K$1139,7)</f>
        <v>Burman Coffee</v>
      </c>
      <c r="F1430" s="13" t="s">
        <v>235</v>
      </c>
      <c r="G1430" s="16"/>
      <c r="H1430" s="14"/>
      <c r="L1430" s="17"/>
      <c r="M1430" s="17"/>
    </row>
    <row r="1431" spans="1:16" x14ac:dyDescent="0.35">
      <c r="A1431">
        <v>165</v>
      </c>
      <c r="B1431" s="5">
        <v>44891</v>
      </c>
      <c r="C1431" s="15" t="str">
        <f>VLOOKUP(A1431,Inventory!$A$4:$K$1139,2)</f>
        <v>Ethiopian Guji Natural - Shakiso 2020</v>
      </c>
      <c r="F1431" s="34" t="s">
        <v>279</v>
      </c>
      <c r="G1431" s="2" t="s">
        <v>286</v>
      </c>
      <c r="L1431" s="17"/>
      <c r="M1431" s="17"/>
      <c r="P1431" s="8"/>
    </row>
    <row r="1432" spans="1:16" x14ac:dyDescent="0.35">
      <c r="F1432" s="11"/>
      <c r="G1432" s="11"/>
      <c r="H1432" s="11"/>
      <c r="I1432" s="11"/>
      <c r="J1432" s="11"/>
      <c r="K1432" s="11"/>
      <c r="L1432" s="28"/>
      <c r="M1432" s="36"/>
    </row>
    <row r="1433" spans="1:16" x14ac:dyDescent="0.35">
      <c r="B1433" s="20"/>
      <c r="C1433" s="11" t="s">
        <v>240</v>
      </c>
      <c r="D1433" s="11" t="s">
        <v>272</v>
      </c>
      <c r="E1433" s="11">
        <v>371</v>
      </c>
      <c r="F1433" s="11">
        <v>383</v>
      </c>
      <c r="G1433" s="11">
        <v>393</v>
      </c>
      <c r="H1433" s="11">
        <v>397</v>
      </c>
      <c r="I1433" s="11"/>
      <c r="J1433" s="11"/>
      <c r="K1433" s="11"/>
      <c r="L1433" s="28"/>
    </row>
    <row r="1434" spans="1:16" ht="15.75" customHeight="1" x14ac:dyDescent="0.35">
      <c r="B1434" s="20" t="s">
        <v>242</v>
      </c>
      <c r="C1434" s="30"/>
      <c r="D1434" s="30"/>
      <c r="E1434" s="23" t="s">
        <v>244</v>
      </c>
      <c r="F1434" s="23" t="s">
        <v>245</v>
      </c>
      <c r="G1434" s="23" t="s">
        <v>246</v>
      </c>
      <c r="H1434" s="23" t="s">
        <v>273</v>
      </c>
      <c r="O1434" s="4"/>
    </row>
    <row r="1435" spans="1:16" ht="1" customHeight="1" x14ac:dyDescent="0.35">
      <c r="B1435" s="24" t="s">
        <v>249</v>
      </c>
      <c r="C1435" s="25"/>
      <c r="D1435" s="25"/>
      <c r="E1435" s="25"/>
      <c r="F1435" s="25"/>
      <c r="G1435" s="25"/>
      <c r="H1435" s="23" t="s">
        <v>247</v>
      </c>
      <c r="O1435" t="e">
        <f>(O1433-3*O1432)/O1434</f>
        <v>#DIV/0!</v>
      </c>
    </row>
    <row r="1436" spans="1:16" ht="15.75" customHeight="1" x14ac:dyDescent="0.35">
      <c r="B1436" s="20" t="s">
        <v>250</v>
      </c>
      <c r="C1436" s="26">
        <v>0.20833333333333334</v>
      </c>
      <c r="D1436" s="26">
        <v>0.2986111111111111</v>
      </c>
      <c r="E1436" s="26">
        <v>0.37152777777777773</v>
      </c>
      <c r="F1436" s="26">
        <f>E1436+'Lookup Tables'!$N$1</f>
        <v>0.39236111111111105</v>
      </c>
      <c r="G1436" s="26">
        <f>F1436+'Lookup Tables'!$N$1</f>
        <v>0.41319444444444436</v>
      </c>
      <c r="H1436" s="26">
        <f>G1436+'Lookup Tables'!$S$1</f>
        <v>0.42361111111111105</v>
      </c>
      <c r="N1436">
        <f>MAX(F1433:M1433)-O1436</f>
        <v>26</v>
      </c>
      <c r="O1436" t="str">
        <f>RIGHT(E1433,3)</f>
        <v>371</v>
      </c>
    </row>
    <row r="1437" spans="1:16" ht="15.75" customHeight="1" x14ac:dyDescent="0.35">
      <c r="B1437" s="20" t="s">
        <v>251</v>
      </c>
      <c r="C1437" s="27">
        <v>0.2</v>
      </c>
      <c r="D1437" s="27">
        <v>0.5</v>
      </c>
      <c r="E1437" s="27"/>
      <c r="F1437" s="27"/>
      <c r="G1437" s="27"/>
      <c r="H1437" s="25"/>
      <c r="N1437" t="str">
        <f xml:space="preserve">  N1436 &amp; " degrees this time"</f>
        <v>26 degrees this time</v>
      </c>
    </row>
    <row r="1438" spans="1:16" ht="15.75" customHeight="1" x14ac:dyDescent="0.35">
      <c r="B1438" s="20" t="s">
        <v>252</v>
      </c>
      <c r="C1438" s="27">
        <v>0.9</v>
      </c>
      <c r="D1438" s="27">
        <v>0.9</v>
      </c>
      <c r="E1438" s="27">
        <v>0.7</v>
      </c>
      <c r="F1438" s="27">
        <v>0.5</v>
      </c>
      <c r="G1438" s="27"/>
      <c r="H1438" s="27" t="s">
        <v>275</v>
      </c>
    </row>
    <row r="1439" spans="1:16" ht="15.75" customHeight="1" x14ac:dyDescent="0.35">
      <c r="B1439" s="20"/>
      <c r="C1439" s="30"/>
      <c r="D1439" s="11"/>
      <c r="E1439" s="1"/>
      <c r="F1439" s="11"/>
      <c r="G1439" s="11"/>
      <c r="H1439" s="11"/>
      <c r="J1439" s="37"/>
      <c r="K1439" s="32" t="s">
        <v>388</v>
      </c>
      <c r="L1439" s="9"/>
      <c r="M1439" s="9"/>
    </row>
    <row r="1440" spans="1:16" ht="15.75" customHeight="1" x14ac:dyDescent="0.35">
      <c r="B1440" s="38"/>
      <c r="D1440" s="11"/>
      <c r="E1440" s="11"/>
      <c r="F1440" s="11"/>
      <c r="G1440" s="1" t="s">
        <v>389</v>
      </c>
      <c r="K1440" s="32" t="s">
        <v>390</v>
      </c>
      <c r="L1440" s="9"/>
      <c r="M1440" s="9"/>
    </row>
    <row r="1441" spans="1:16" ht="15.75" customHeight="1" x14ac:dyDescent="0.35">
      <c r="B1441" s="20"/>
      <c r="G1441" s="1"/>
      <c r="H1441" s="1"/>
      <c r="K1441" s="32"/>
      <c r="L1441" s="9"/>
      <c r="M1441" s="9"/>
    </row>
    <row r="1442" spans="1:16" ht="15.75" customHeight="1" x14ac:dyDescent="0.35">
      <c r="B1442" s="20"/>
      <c r="G1442" s="1"/>
      <c r="H1442" s="1"/>
      <c r="K1442" s="9" t="s">
        <v>254</v>
      </c>
      <c r="L1442" s="9"/>
      <c r="M1442" s="9"/>
    </row>
    <row r="1443" spans="1:16" ht="15.75" customHeight="1" x14ac:dyDescent="0.35">
      <c r="B1443" s="9"/>
      <c r="C1443" s="9"/>
      <c r="D1443" s="9"/>
      <c r="E1443" s="9"/>
      <c r="F1443" s="12"/>
      <c r="G1443" s="12"/>
      <c r="H1443" s="12"/>
      <c r="I1443" s="12"/>
      <c r="J1443" s="12"/>
      <c r="K1443" s="12"/>
      <c r="L1443" s="1"/>
    </row>
    <row r="1444" spans="1:16" ht="15.75" customHeight="1" x14ac:dyDescent="0.35">
      <c r="B1444" s="13"/>
      <c r="C1444" s="13"/>
      <c r="D1444" s="15"/>
      <c r="F1444" s="33"/>
    </row>
    <row r="1445" spans="1:16" x14ac:dyDescent="0.35">
      <c r="B1445" s="13" t="s">
        <v>5</v>
      </c>
      <c r="C1445" s="13" t="s">
        <v>1</v>
      </c>
      <c r="D1445" s="15" t="str">
        <f>VLOOKUP(A1446,Inventory!$A$4:$K$1139,7)</f>
        <v xml:space="preserve">Klatch                             </v>
      </c>
      <c r="F1445" s="13" t="s">
        <v>235</v>
      </c>
      <c r="G1445" s="16"/>
      <c r="L1445" s="17"/>
      <c r="M1445" s="17"/>
    </row>
    <row r="1446" spans="1:16" x14ac:dyDescent="0.35">
      <c r="A1446">
        <v>168</v>
      </c>
      <c r="B1446" s="5">
        <v>44891</v>
      </c>
      <c r="C1446" s="15" t="str">
        <f>VLOOKUP(A1446,Inventory!$A$4:$K$1139,2)</f>
        <v>Ethiopia Yirgacheffe BedHatu Washed 2021</v>
      </c>
      <c r="F1446" s="31" t="s">
        <v>291</v>
      </c>
      <c r="G1446" s="2" t="s">
        <v>286</v>
      </c>
      <c r="L1446" s="17"/>
      <c r="M1446" s="17"/>
      <c r="P1446" s="8"/>
    </row>
    <row r="1447" spans="1:16" x14ac:dyDescent="0.35">
      <c r="G1447" s="16"/>
      <c r="L1447" s="19"/>
      <c r="M1447" s="19"/>
    </row>
    <row r="1448" spans="1:16" x14ac:dyDescent="0.35">
      <c r="B1448" s="20"/>
      <c r="C1448" s="11" t="s">
        <v>240</v>
      </c>
      <c r="D1448" s="11" t="s">
        <v>241</v>
      </c>
      <c r="E1448" s="11">
        <v>365</v>
      </c>
      <c r="F1448" s="11">
        <v>372</v>
      </c>
      <c r="G1448" s="11">
        <v>378</v>
      </c>
      <c r="H1448" s="11">
        <v>385</v>
      </c>
      <c r="I1448" s="11">
        <v>389</v>
      </c>
      <c r="J1448" s="11">
        <v>393</v>
      </c>
      <c r="K1448" s="11"/>
      <c r="L1448" s="11"/>
    </row>
    <row r="1449" spans="1:16" ht="15.75" customHeight="1" x14ac:dyDescent="0.35">
      <c r="B1449" s="20" t="s">
        <v>242</v>
      </c>
      <c r="C1449" s="30"/>
      <c r="D1449" s="30"/>
      <c r="E1449" s="23" t="s">
        <v>244</v>
      </c>
      <c r="F1449" s="23" t="s">
        <v>245</v>
      </c>
      <c r="G1449" s="23" t="s">
        <v>246</v>
      </c>
      <c r="H1449" s="23" t="s">
        <v>247</v>
      </c>
      <c r="I1449" s="23" t="s">
        <v>248</v>
      </c>
      <c r="J1449" s="23" t="s">
        <v>259</v>
      </c>
      <c r="O1449" s="4"/>
    </row>
    <row r="1450" spans="1:16" ht="1" customHeight="1" x14ac:dyDescent="0.35">
      <c r="B1450" s="24" t="s">
        <v>249</v>
      </c>
      <c r="C1450" s="25"/>
      <c r="D1450" s="25"/>
      <c r="E1450" s="25"/>
      <c r="F1450" s="25"/>
      <c r="G1450" s="25"/>
      <c r="H1450" s="25"/>
      <c r="I1450" s="25"/>
      <c r="J1450" s="25"/>
      <c r="O1450" t="e">
        <f>(O1448-3*O1447)/O1449</f>
        <v>#DIV/0!</v>
      </c>
    </row>
    <row r="1451" spans="1:16" ht="15.75" customHeight="1" x14ac:dyDescent="0.35">
      <c r="B1451" s="20" t="s">
        <v>250</v>
      </c>
      <c r="C1451" s="26">
        <v>0.20486111111111113</v>
      </c>
      <c r="D1451" s="26">
        <v>0.27777777777777779</v>
      </c>
      <c r="E1451" s="26">
        <v>0.3576388888888889</v>
      </c>
      <c r="F1451" s="26">
        <f>E1451+'Lookup Tables'!$N$1</f>
        <v>0.37847222222222221</v>
      </c>
      <c r="G1451" s="26">
        <f>F1451+'Lookup Tables'!$N$1</f>
        <v>0.39930555555555552</v>
      </c>
      <c r="H1451" s="26">
        <f>G1451+'Lookup Tables'!$N$1</f>
        <v>0.42013888888888884</v>
      </c>
      <c r="I1451" s="26">
        <f>H1451+'Lookup Tables'!$S$1</f>
        <v>0.43055555555555552</v>
      </c>
      <c r="J1451" s="26">
        <f>I1451+'Lookup Tables'!$S$1</f>
        <v>0.44097222222222221</v>
      </c>
      <c r="N1451">
        <f>MAX(F1448:M1448)-O1451</f>
        <v>28</v>
      </c>
      <c r="O1451" t="str">
        <f>RIGHT(E1448,3)</f>
        <v>365</v>
      </c>
    </row>
    <row r="1452" spans="1:16" ht="15.75" customHeight="1" x14ac:dyDescent="0.35">
      <c r="B1452" s="20" t="s">
        <v>251</v>
      </c>
      <c r="C1452" s="27">
        <v>0.2</v>
      </c>
      <c r="D1452" s="27">
        <v>0.5</v>
      </c>
      <c r="E1452" s="27"/>
      <c r="F1452" s="27"/>
      <c r="G1452" s="27"/>
      <c r="H1452" s="25"/>
      <c r="I1452" s="27"/>
      <c r="J1452" s="27"/>
      <c r="N1452" t="str">
        <f xml:space="preserve">  N1451 &amp; " degrees this time"</f>
        <v>28 degrees this time</v>
      </c>
    </row>
    <row r="1453" spans="1:16" ht="15.75" customHeight="1" x14ac:dyDescent="0.35">
      <c r="B1453" s="20" t="s">
        <v>252</v>
      </c>
      <c r="C1453" s="27">
        <v>0.9</v>
      </c>
      <c r="D1453" s="27">
        <v>0.8</v>
      </c>
      <c r="E1453" s="27"/>
      <c r="F1453" s="27"/>
      <c r="G1453" s="27">
        <v>0.5</v>
      </c>
      <c r="H1453" s="27"/>
      <c r="I1453" s="27" t="s">
        <v>275</v>
      </c>
      <c r="J1453" s="27" t="s">
        <v>275</v>
      </c>
    </row>
    <row r="1454" spans="1:16" ht="15.75" customHeight="1" x14ac:dyDescent="0.35">
      <c r="B1454" s="20"/>
      <c r="C1454" s="30"/>
      <c r="D1454" s="11"/>
      <c r="E1454" s="1"/>
      <c r="F1454" s="11"/>
      <c r="G1454" s="11"/>
      <c r="H1454" s="11"/>
    </row>
    <row r="1455" spans="1:16" ht="15.75" customHeight="1" x14ac:dyDescent="0.35">
      <c r="B1455" s="38"/>
      <c r="D1455" s="11"/>
      <c r="E1455" s="11"/>
      <c r="F1455" s="11"/>
      <c r="G1455" s="1" t="s">
        <v>292</v>
      </c>
      <c r="K1455" s="9" t="s">
        <v>293</v>
      </c>
      <c r="L1455" s="9"/>
      <c r="M1455" s="9"/>
    </row>
    <row r="1456" spans="1:16" ht="15.75" customHeight="1" x14ac:dyDescent="0.35">
      <c r="B1456" s="20"/>
      <c r="G1456" s="1"/>
      <c r="H1456" s="1"/>
      <c r="K1456" s="32"/>
      <c r="L1456" s="9"/>
      <c r="M1456" s="9"/>
    </row>
    <row r="1457" spans="1:16" ht="15.75" customHeight="1" x14ac:dyDescent="0.35">
      <c r="B1457" s="20"/>
      <c r="G1457" s="1"/>
      <c r="H1457" s="1"/>
      <c r="K1457" s="9" t="s">
        <v>254</v>
      </c>
      <c r="L1457" s="9"/>
      <c r="M1457" s="9"/>
    </row>
    <row r="1458" spans="1:16" ht="15.75" customHeight="1" x14ac:dyDescent="0.35">
      <c r="B1458" s="9"/>
      <c r="C1458" s="9"/>
      <c r="D1458" s="9"/>
      <c r="E1458" s="9"/>
      <c r="F1458" s="12"/>
      <c r="G1458" s="12"/>
      <c r="H1458" s="12"/>
      <c r="I1458" s="12"/>
      <c r="J1458" s="12"/>
      <c r="K1458" s="12"/>
      <c r="L1458" s="1"/>
    </row>
    <row r="1459" spans="1:16" ht="15.75" customHeight="1" x14ac:dyDescent="0.35">
      <c r="B1459" s="13"/>
      <c r="C1459" s="13"/>
      <c r="D1459" s="15"/>
      <c r="G1459" s="16"/>
      <c r="H1459" s="14" t="s">
        <v>255</v>
      </c>
      <c r="I1459" s="14"/>
      <c r="L1459" s="2"/>
    </row>
    <row r="1460" spans="1:16" x14ac:dyDescent="0.35">
      <c r="B1460" s="13" t="s">
        <v>5</v>
      </c>
      <c r="C1460" s="13" t="s">
        <v>1</v>
      </c>
      <c r="D1460" s="15" t="str">
        <f>VLOOKUP(A1461,Inventory!$A$4:$K$1139,7)</f>
        <v>Royal coffee</v>
      </c>
      <c r="F1460" s="13" t="s">
        <v>235</v>
      </c>
      <c r="G1460" s="16"/>
      <c r="L1460" s="17"/>
      <c r="M1460" s="17"/>
    </row>
    <row r="1461" spans="1:16" x14ac:dyDescent="0.35">
      <c r="A1461">
        <v>141</v>
      </c>
      <c r="B1461" s="5">
        <v>44891</v>
      </c>
      <c r="C1461" s="15" t="str">
        <f>VLOOKUP(A1461,Inventory!$A$4:$K$1139,2)</f>
        <v>Yemen Al-Haymah Rooftop Raised Bed Natural 2017</v>
      </c>
      <c r="F1461" s="31" t="s">
        <v>291</v>
      </c>
      <c r="G1461" s="2" t="s">
        <v>286</v>
      </c>
      <c r="L1461" s="17"/>
      <c r="M1461" s="17"/>
      <c r="P1461" s="8"/>
    </row>
    <row r="1462" spans="1:16" x14ac:dyDescent="0.35">
      <c r="B1462" t="s">
        <v>16</v>
      </c>
      <c r="G1462" s="16"/>
      <c r="K1462" s="2"/>
      <c r="L1462" s="19"/>
      <c r="M1462" s="19"/>
    </row>
    <row r="1463" spans="1:16" x14ac:dyDescent="0.35">
      <c r="B1463" s="20"/>
      <c r="C1463" s="11" t="s">
        <v>240</v>
      </c>
      <c r="D1463" s="11" t="s">
        <v>272</v>
      </c>
      <c r="E1463" s="11">
        <v>370</v>
      </c>
      <c r="F1463" s="11">
        <v>375</v>
      </c>
      <c r="G1463" s="11">
        <v>383</v>
      </c>
      <c r="H1463" s="11">
        <v>386</v>
      </c>
      <c r="I1463" s="11">
        <v>392</v>
      </c>
      <c r="J1463" s="11"/>
      <c r="K1463" s="11"/>
      <c r="L1463" s="11"/>
    </row>
    <row r="1464" spans="1:16" ht="15.75" customHeight="1" x14ac:dyDescent="0.35">
      <c r="B1464" s="20" t="s">
        <v>242</v>
      </c>
      <c r="C1464" s="21"/>
      <c r="D1464" s="22" t="s">
        <v>294</v>
      </c>
      <c r="E1464" s="23" t="s">
        <v>244</v>
      </c>
      <c r="F1464" s="23" t="s">
        <v>245</v>
      </c>
      <c r="G1464" s="23" t="s">
        <v>246</v>
      </c>
      <c r="H1464" s="23" t="s">
        <v>273</v>
      </c>
      <c r="I1464" s="23" t="s">
        <v>247</v>
      </c>
      <c r="O1464" s="4"/>
    </row>
    <row r="1465" spans="1:16" ht="1" customHeight="1" x14ac:dyDescent="0.35">
      <c r="B1465" s="24" t="s">
        <v>249</v>
      </c>
      <c r="C1465" s="25">
        <v>320</v>
      </c>
      <c r="D1465" s="25">
        <v>350</v>
      </c>
      <c r="E1465" s="25"/>
      <c r="F1465" s="25"/>
      <c r="G1465" s="25"/>
      <c r="H1465" s="23" t="s">
        <v>247</v>
      </c>
      <c r="I1465" s="25"/>
      <c r="O1465" t="e">
        <f>(O1463-3*O1462)/O1464</f>
        <v>#DIV/0!</v>
      </c>
    </row>
    <row r="1466" spans="1:16" ht="15.75" customHeight="1" x14ac:dyDescent="0.35">
      <c r="B1466" s="20" t="s">
        <v>250</v>
      </c>
      <c r="C1466" s="26">
        <v>0.20486111111111113</v>
      </c>
      <c r="D1466" s="26">
        <v>0.30208333333333331</v>
      </c>
      <c r="E1466" s="26">
        <v>0.3888888888888889</v>
      </c>
      <c r="F1466" s="26">
        <f>E1466+'Lookup Tables'!$N$1</f>
        <v>0.40972222222222221</v>
      </c>
      <c r="G1466" s="26">
        <f>F1466+'Lookup Tables'!$N$1</f>
        <v>0.43055555555555552</v>
      </c>
      <c r="H1466" s="26">
        <f>G1466+'Lookup Tables'!$S$1</f>
        <v>0.44097222222222221</v>
      </c>
      <c r="I1466" s="26">
        <f>H1466+'Lookup Tables'!$S$1</f>
        <v>0.4513888888888889</v>
      </c>
      <c r="N1466">
        <f>MAX(F1463:M1463)-O1466</f>
        <v>22</v>
      </c>
      <c r="O1466" t="str">
        <f>RIGHT(E1463,3)</f>
        <v>370</v>
      </c>
    </row>
    <row r="1467" spans="1:16" ht="15.75" customHeight="1" x14ac:dyDescent="0.35">
      <c r="B1467" s="20" t="s">
        <v>251</v>
      </c>
      <c r="C1467" s="27">
        <v>0.2</v>
      </c>
      <c r="D1467" s="27">
        <v>0.5</v>
      </c>
      <c r="E1467" s="27"/>
      <c r="F1467" s="27"/>
      <c r="G1467" s="27">
        <v>0.25</v>
      </c>
      <c r="H1467" s="27"/>
      <c r="I1467" s="27"/>
      <c r="N1467" t="str">
        <f xml:space="preserve">  N1466 &amp; " degrees this time"</f>
        <v>22 degrees this time</v>
      </c>
    </row>
    <row r="1468" spans="1:16" ht="15.75" customHeight="1" x14ac:dyDescent="0.35">
      <c r="B1468" s="20" t="s">
        <v>252</v>
      </c>
      <c r="C1468" s="27">
        <v>0.9</v>
      </c>
      <c r="D1468" s="27">
        <v>0.7</v>
      </c>
      <c r="E1468" s="27">
        <v>0.6</v>
      </c>
      <c r="F1468" s="27"/>
      <c r="G1468" s="27"/>
      <c r="H1468" s="27"/>
      <c r="I1468" s="27" t="s">
        <v>275</v>
      </c>
    </row>
    <row r="1469" spans="1:16" ht="15.75" customHeight="1" x14ac:dyDescent="0.35">
      <c r="B1469" s="20"/>
      <c r="D1469" s="11"/>
      <c r="E1469" s="40"/>
      <c r="F1469" s="11"/>
      <c r="G1469" s="11"/>
    </row>
    <row r="1470" spans="1:16" ht="15.75" customHeight="1" x14ac:dyDescent="0.35">
      <c r="B1470" s="38"/>
      <c r="D1470" s="15"/>
      <c r="F1470" s="13"/>
      <c r="G1470" s="1" t="s">
        <v>296</v>
      </c>
      <c r="K1470" s="32" t="s">
        <v>377</v>
      </c>
      <c r="L1470" s="9"/>
      <c r="M1470" s="9"/>
    </row>
    <row r="1471" spans="1:16" ht="15.75" customHeight="1" x14ac:dyDescent="0.35">
      <c r="B1471" s="20"/>
      <c r="G1471" s="1"/>
      <c r="H1471" s="1"/>
      <c r="K1471" s="9"/>
      <c r="L1471" s="9"/>
      <c r="M1471" s="9"/>
    </row>
    <row r="1472" spans="1:16" ht="15.75" customHeight="1" x14ac:dyDescent="0.35">
      <c r="B1472" s="20"/>
      <c r="G1472" s="1"/>
      <c r="H1472" s="1"/>
      <c r="K1472" s="9" t="s">
        <v>297</v>
      </c>
      <c r="L1472" s="9"/>
      <c r="M1472" s="9"/>
    </row>
    <row r="1473" spans="1:16" ht="15.75" customHeight="1" x14ac:dyDescent="0.35">
      <c r="B1473" s="9"/>
      <c r="C1473" s="9"/>
      <c r="D1473" s="9"/>
      <c r="E1473" s="9"/>
      <c r="F1473" s="12"/>
      <c r="G1473" s="12"/>
      <c r="H1473" s="12"/>
      <c r="I1473" s="12"/>
      <c r="J1473" s="12"/>
      <c r="K1473" s="12"/>
      <c r="L1473" s="1"/>
    </row>
    <row r="1474" spans="1:16" ht="15.75" customHeight="1" x14ac:dyDescent="0.35">
      <c r="B1474" s="13"/>
      <c r="C1474" s="13"/>
      <c r="D1474" s="15"/>
      <c r="H1474" s="14" t="s">
        <v>255</v>
      </c>
    </row>
    <row r="1475" spans="1:16" x14ac:dyDescent="0.35">
      <c r="B1475" s="13" t="s">
        <v>5</v>
      </c>
      <c r="C1475" s="13" t="s">
        <v>1</v>
      </c>
      <c r="D1475" s="15" t="str">
        <f>VLOOKUP(A1476,Inventory!$A$4:$K$1139,7)</f>
        <v xml:space="preserve">Sweet Marias                       </v>
      </c>
      <c r="F1475" s="13" t="s">
        <v>235</v>
      </c>
      <c r="G1475" s="16"/>
      <c r="L1475" s="17"/>
      <c r="M1475" s="17"/>
    </row>
    <row r="1476" spans="1:16" x14ac:dyDescent="0.35">
      <c r="A1476">
        <v>158</v>
      </c>
      <c r="B1476" s="5">
        <v>44891</v>
      </c>
      <c r="C1476" s="15" t="str">
        <f>VLOOKUP(A1476,Inventory!$A$4:$K$1139,2)</f>
        <v>Ethiopia Organic Sidama Keramo 2020</v>
      </c>
      <c r="E1476" s="11"/>
      <c r="F1476" s="31" t="s">
        <v>291</v>
      </c>
      <c r="G1476" s="2" t="s">
        <v>286</v>
      </c>
      <c r="L1476" s="17"/>
      <c r="M1476" s="17"/>
      <c r="P1476" s="8"/>
    </row>
    <row r="1477" spans="1:16" x14ac:dyDescent="0.35">
      <c r="D1477" s="11"/>
      <c r="E1477" s="11"/>
      <c r="G1477" s="16"/>
      <c r="K1477" s="2"/>
      <c r="L1477" s="19"/>
      <c r="M1477" s="19"/>
    </row>
    <row r="1478" spans="1:16" x14ac:dyDescent="0.35">
      <c r="B1478" s="20"/>
      <c r="C1478" s="11" t="s">
        <v>240</v>
      </c>
      <c r="D1478" s="11" t="s">
        <v>272</v>
      </c>
      <c r="E1478" s="11">
        <v>361</v>
      </c>
      <c r="F1478" s="11">
        <v>365</v>
      </c>
      <c r="G1478" s="11">
        <v>372</v>
      </c>
      <c r="H1478" s="11">
        <v>382</v>
      </c>
      <c r="I1478" s="11" t="s">
        <v>356</v>
      </c>
      <c r="J1478" s="11"/>
      <c r="K1478" s="11"/>
      <c r="L1478" s="11"/>
    </row>
    <row r="1479" spans="1:16" ht="15.75" customHeight="1" x14ac:dyDescent="0.35">
      <c r="B1479" s="20" t="s">
        <v>242</v>
      </c>
      <c r="C1479" s="30"/>
      <c r="D1479" s="30"/>
      <c r="E1479" s="23" t="s">
        <v>244</v>
      </c>
      <c r="F1479" s="23" t="s">
        <v>245</v>
      </c>
      <c r="G1479" s="23" t="s">
        <v>246</v>
      </c>
      <c r="H1479" s="23" t="s">
        <v>247</v>
      </c>
      <c r="O1479" s="4"/>
    </row>
    <row r="1480" spans="1:16" ht="1" customHeight="1" x14ac:dyDescent="0.35">
      <c r="B1480" s="24" t="s">
        <v>249</v>
      </c>
      <c r="C1480" s="25"/>
      <c r="D1480" s="25"/>
      <c r="E1480" s="25"/>
      <c r="F1480" s="25"/>
      <c r="G1480" s="25"/>
      <c r="H1480" s="25"/>
      <c r="O1480" t="e">
        <f>(O1478-3*O1477)/O1479</f>
        <v>#DIV/0!</v>
      </c>
    </row>
    <row r="1481" spans="1:16" ht="15.75" customHeight="1" x14ac:dyDescent="0.35">
      <c r="B1481" s="20" t="s">
        <v>250</v>
      </c>
      <c r="C1481" s="26">
        <v>0.18055555555555555</v>
      </c>
      <c r="D1481" s="26">
        <v>0.26041666666666669</v>
      </c>
      <c r="E1481" s="26">
        <v>0.33333333333333331</v>
      </c>
      <c r="F1481" s="26">
        <f>E1481+'Lookup Tables'!$N$1</f>
        <v>0.35416666666666663</v>
      </c>
      <c r="G1481" s="26">
        <f>F1481+'Lookup Tables'!$N$1</f>
        <v>0.37499999999999994</v>
      </c>
      <c r="H1481" s="26">
        <f>G1481+'Lookup Tables'!$N$1</f>
        <v>0.39583333333333326</v>
      </c>
      <c r="N1481">
        <f>MAX(F1478:M1478)-O1481</f>
        <v>21</v>
      </c>
      <c r="O1481" t="str">
        <f>RIGHT(E1478,3)</f>
        <v>361</v>
      </c>
    </row>
    <row r="1482" spans="1:16" ht="15.75" customHeight="1" x14ac:dyDescent="0.35">
      <c r="B1482" s="20" t="s">
        <v>251</v>
      </c>
      <c r="C1482" s="27">
        <v>0.2</v>
      </c>
      <c r="D1482" s="27">
        <v>0.5</v>
      </c>
      <c r="E1482" s="27"/>
      <c r="F1482" s="27"/>
      <c r="G1482" s="27"/>
      <c r="H1482" s="27"/>
      <c r="N1482" t="str">
        <f xml:space="preserve">  N1481 &amp; " degrees this time"</f>
        <v>21 degrees this time</v>
      </c>
    </row>
    <row r="1483" spans="1:16" ht="15.75" customHeight="1" x14ac:dyDescent="0.35">
      <c r="B1483" s="20" t="s">
        <v>252</v>
      </c>
      <c r="C1483" s="27">
        <v>0.9</v>
      </c>
      <c r="D1483" s="27">
        <v>0.8</v>
      </c>
      <c r="E1483" s="27"/>
      <c r="F1483" s="27">
        <v>0.5</v>
      </c>
      <c r="G1483" s="27" t="s">
        <v>274</v>
      </c>
      <c r="H1483" s="27" t="s">
        <v>275</v>
      </c>
    </row>
    <row r="1484" spans="1:16" ht="15.75" customHeight="1" x14ac:dyDescent="0.35">
      <c r="B1484" s="20"/>
      <c r="F1484" s="1"/>
    </row>
    <row r="1485" spans="1:16" ht="15.75" customHeight="1" x14ac:dyDescent="0.35">
      <c r="B1485" s="20"/>
      <c r="G1485" s="1" t="s">
        <v>351</v>
      </c>
      <c r="K1485" s="32" t="s">
        <v>369</v>
      </c>
      <c r="L1485" s="9"/>
      <c r="M1485" s="9"/>
    </row>
    <row r="1486" spans="1:16" ht="15.75" customHeight="1" x14ac:dyDescent="0.35">
      <c r="B1486" s="20"/>
      <c r="G1486" s="1"/>
      <c r="H1486" s="1"/>
      <c r="K1486" s="32"/>
      <c r="L1486" s="9"/>
      <c r="M1486" s="9"/>
    </row>
    <row r="1487" spans="1:16" ht="15.75" customHeight="1" x14ac:dyDescent="0.35">
      <c r="B1487" s="20"/>
      <c r="G1487" s="1"/>
      <c r="H1487" s="1"/>
      <c r="K1487" s="9" t="s">
        <v>300</v>
      </c>
      <c r="L1487" s="9"/>
      <c r="M1487" s="9"/>
    </row>
    <row r="1488" spans="1:16" ht="15.75" customHeight="1" x14ac:dyDescent="0.35">
      <c r="B1488" s="9"/>
      <c r="C1488" s="9"/>
      <c r="D1488" s="9"/>
      <c r="E1488" s="9"/>
      <c r="F1488" s="12"/>
      <c r="G1488" s="12"/>
      <c r="H1488" s="12"/>
      <c r="I1488" s="12"/>
      <c r="J1488" s="12"/>
      <c r="K1488" s="12"/>
      <c r="L1488" s="1"/>
    </row>
    <row r="1489" spans="1:16" ht="15.75" customHeight="1" x14ac:dyDescent="0.35">
      <c r="B1489" s="13"/>
      <c r="C1489" s="13"/>
      <c r="D1489" s="15"/>
      <c r="G1489" s="15"/>
      <c r="H1489" s="14" t="s">
        <v>255</v>
      </c>
      <c r="I1489" s="1"/>
      <c r="J1489" s="2"/>
      <c r="K1489" s="2"/>
      <c r="L1489" s="8"/>
    </row>
    <row r="1490" spans="1:16" x14ac:dyDescent="0.35">
      <c r="B1490" s="13" t="s">
        <v>5</v>
      </c>
      <c r="C1490" s="13" t="s">
        <v>1</v>
      </c>
      <c r="D1490" s="15" t="str">
        <f>VLOOKUP(A1491,Inventory!$A$4:$K$1139,7)</f>
        <v xml:space="preserve">Klatch                             </v>
      </c>
      <c r="F1490" s="13" t="s">
        <v>235</v>
      </c>
      <c r="G1490" s="16"/>
      <c r="L1490" s="8"/>
      <c r="M1490" s="17"/>
    </row>
    <row r="1491" spans="1:16" x14ac:dyDescent="0.35">
      <c r="A1491">
        <v>167</v>
      </c>
      <c r="B1491" s="5">
        <v>44873</v>
      </c>
      <c r="C1491" s="15" t="str">
        <f>VLOOKUP(A1491,Inventory!$A$4:$K$1139,2)</f>
        <v>Uganda Sipi Falls Organic 2020</v>
      </c>
      <c r="E1491" s="11"/>
      <c r="F1491" s="31" t="s">
        <v>291</v>
      </c>
      <c r="G1491" s="2" t="s">
        <v>286</v>
      </c>
      <c r="M1491" s="17"/>
      <c r="P1491" s="8"/>
    </row>
    <row r="1492" spans="1:16" x14ac:dyDescent="0.35">
      <c r="D1492" s="11"/>
      <c r="E1492" s="11"/>
      <c r="G1492" s="16"/>
      <c r="L1492" s="19"/>
      <c r="M1492" s="19"/>
    </row>
    <row r="1493" spans="1:16" x14ac:dyDescent="0.35">
      <c r="B1493" s="20"/>
      <c r="C1493" s="11" t="s">
        <v>240</v>
      </c>
      <c r="D1493" s="11" t="s">
        <v>241</v>
      </c>
      <c r="E1493" s="11">
        <v>368</v>
      </c>
      <c r="F1493" s="11">
        <v>376</v>
      </c>
      <c r="G1493" s="11">
        <v>383</v>
      </c>
      <c r="H1493" s="11">
        <v>388</v>
      </c>
      <c r="I1493" s="11">
        <v>397</v>
      </c>
      <c r="J1493" s="11"/>
      <c r="K1493" s="11"/>
      <c r="L1493" s="11"/>
    </row>
    <row r="1494" spans="1:16" ht="15.75" customHeight="1" x14ac:dyDescent="0.35">
      <c r="B1494" s="20" t="s">
        <v>242</v>
      </c>
      <c r="C1494" s="30"/>
      <c r="D1494" s="30"/>
      <c r="E1494" s="23" t="s">
        <v>244</v>
      </c>
      <c r="F1494" s="23" t="s">
        <v>245</v>
      </c>
      <c r="G1494" s="23" t="s">
        <v>246</v>
      </c>
      <c r="H1494" s="23" t="s">
        <v>247</v>
      </c>
      <c r="I1494" s="23" t="s">
        <v>259</v>
      </c>
      <c r="O1494" s="4"/>
    </row>
    <row r="1495" spans="1:16" ht="1" customHeight="1" x14ac:dyDescent="0.35">
      <c r="B1495" s="24" t="s">
        <v>249</v>
      </c>
      <c r="C1495" s="25"/>
      <c r="D1495" s="25"/>
      <c r="E1495" s="25"/>
      <c r="F1495" s="25"/>
      <c r="G1495" s="25"/>
      <c r="H1495" s="25"/>
      <c r="I1495" s="25"/>
      <c r="O1495" t="e">
        <f>(O1493-3*O1492)/O1494</f>
        <v>#DIV/0!</v>
      </c>
    </row>
    <row r="1496" spans="1:16" ht="15.75" customHeight="1" x14ac:dyDescent="0.35">
      <c r="B1496" s="20" t="s">
        <v>250</v>
      </c>
      <c r="C1496" s="26">
        <v>0.20138888888888887</v>
      </c>
      <c r="D1496" s="26">
        <v>0.27777777777777779</v>
      </c>
      <c r="E1496" s="26">
        <v>0.37152777777777773</v>
      </c>
      <c r="F1496" s="26">
        <f>E1496+'Lookup Tables'!$N$1</f>
        <v>0.39236111111111105</v>
      </c>
      <c r="G1496" s="26">
        <f>F1496+'Lookup Tables'!$N$1</f>
        <v>0.41319444444444436</v>
      </c>
      <c r="H1496" s="26">
        <f>G1496+'Lookup Tables'!$N$1</f>
        <v>0.43402777777777768</v>
      </c>
      <c r="I1496" s="26">
        <f>H1496+'Lookup Tables'!$N$1</f>
        <v>0.45486111111111099</v>
      </c>
      <c r="N1496">
        <f>MAX(F1493:M1493)-O1496</f>
        <v>29</v>
      </c>
      <c r="O1496" t="str">
        <f>RIGHT(E1493,3)</f>
        <v>368</v>
      </c>
    </row>
    <row r="1497" spans="1:16" ht="15.75" customHeight="1" x14ac:dyDescent="0.35">
      <c r="B1497" s="20" t="s">
        <v>251</v>
      </c>
      <c r="C1497" s="27">
        <v>0.2</v>
      </c>
      <c r="D1497" s="27">
        <v>0.5</v>
      </c>
      <c r="E1497" s="27"/>
      <c r="F1497" s="27"/>
      <c r="G1497" s="27" t="s">
        <v>274</v>
      </c>
      <c r="H1497" s="25"/>
      <c r="I1497" s="27"/>
      <c r="N1497" t="str">
        <f xml:space="preserve">  N1496 &amp; " degrees this time"</f>
        <v>29 degrees this time</v>
      </c>
    </row>
    <row r="1498" spans="1:16" ht="15.75" customHeight="1" x14ac:dyDescent="0.35">
      <c r="B1498" s="20" t="s">
        <v>252</v>
      </c>
      <c r="C1498" s="27">
        <v>0.9</v>
      </c>
      <c r="D1498" s="27">
        <v>0.8</v>
      </c>
      <c r="E1498" s="27">
        <v>0.6</v>
      </c>
      <c r="F1498" s="27">
        <v>0.4</v>
      </c>
      <c r="G1498" s="27" t="s">
        <v>274</v>
      </c>
      <c r="H1498" s="27"/>
      <c r="I1498" s="27" t="s">
        <v>275</v>
      </c>
    </row>
    <row r="1499" spans="1:16" ht="15.75" customHeight="1" x14ac:dyDescent="0.35">
      <c r="B1499" s="20"/>
      <c r="D1499" s="11"/>
      <c r="E1499" s="11"/>
      <c r="F1499" s="11"/>
      <c r="H1499" s="35"/>
    </row>
    <row r="1500" spans="1:16" ht="15.75" customHeight="1" x14ac:dyDescent="0.35">
      <c r="B1500" s="20"/>
      <c r="G1500" s="1" t="s">
        <v>304</v>
      </c>
      <c r="K1500" s="32"/>
      <c r="L1500" s="9"/>
      <c r="M1500" s="9"/>
    </row>
    <row r="1501" spans="1:16" ht="15.75" customHeight="1" x14ac:dyDescent="0.35">
      <c r="B1501" s="20"/>
      <c r="G1501" s="1"/>
      <c r="H1501" s="1"/>
      <c r="K1501" s="32"/>
      <c r="L1501" s="9"/>
      <c r="M1501" s="9"/>
    </row>
    <row r="1502" spans="1:16" ht="15.75" customHeight="1" x14ac:dyDescent="0.35">
      <c r="B1502" s="20"/>
      <c r="G1502" s="1"/>
      <c r="H1502" s="1"/>
      <c r="K1502" s="9" t="s">
        <v>300</v>
      </c>
      <c r="L1502" s="9"/>
      <c r="M1502" s="9"/>
    </row>
    <row r="1503" spans="1:16" ht="15.75" customHeight="1" x14ac:dyDescent="0.35">
      <c r="B1503" s="9"/>
      <c r="C1503" s="9"/>
      <c r="D1503" s="9"/>
      <c r="E1503" s="9"/>
      <c r="F1503" s="12"/>
      <c r="G1503" s="12"/>
      <c r="H1503" s="12"/>
      <c r="I1503" s="12"/>
      <c r="J1503" s="12"/>
      <c r="K1503" s="12"/>
      <c r="L1503" s="1"/>
    </row>
    <row r="1504" spans="1:16" ht="15.75" customHeight="1" x14ac:dyDescent="0.35">
      <c r="B1504" s="13"/>
      <c r="C1504" s="13"/>
      <c r="D1504" s="13"/>
      <c r="E1504" s="13"/>
      <c r="F1504" s="13"/>
      <c r="G1504" s="13"/>
      <c r="I1504" s="13"/>
    </row>
    <row r="1505" spans="1:16" x14ac:dyDescent="0.35">
      <c r="B1505" s="13" t="s">
        <v>5</v>
      </c>
      <c r="C1505" s="13" t="s">
        <v>1</v>
      </c>
      <c r="D1505" s="15" t="str">
        <f>VLOOKUP(A1506,Inventory!$A$4:$K$1139,7)</f>
        <v xml:space="preserve">Klatch                             </v>
      </c>
      <c r="F1505" s="13" t="s">
        <v>235</v>
      </c>
      <c r="G1505" s="16"/>
      <c r="L1505" s="17"/>
      <c r="M1505" s="17"/>
    </row>
    <row r="1506" spans="1:16" x14ac:dyDescent="0.35">
      <c r="A1506">
        <v>161</v>
      </c>
      <c r="B1506" s="5">
        <v>44873</v>
      </c>
      <c r="C1506" s="15" t="str">
        <f>VLOOKUP(A1506,Inventory!$A$4:$K$1139,2)</f>
        <v>Colombia Nariño Organic 2020</v>
      </c>
      <c r="E1506" s="11"/>
      <c r="F1506" s="34" t="s">
        <v>279</v>
      </c>
      <c r="G1506" s="2" t="s">
        <v>286</v>
      </c>
      <c r="L1506" s="17"/>
      <c r="M1506" s="17"/>
      <c r="P1506" s="8"/>
    </row>
    <row r="1507" spans="1:16" x14ac:dyDescent="0.35">
      <c r="D1507" s="11"/>
      <c r="E1507" s="11"/>
      <c r="G1507" s="16"/>
      <c r="L1507" s="19"/>
      <c r="M1507" s="19"/>
    </row>
    <row r="1508" spans="1:16" x14ac:dyDescent="0.35">
      <c r="B1508" s="20"/>
      <c r="C1508" s="11" t="s">
        <v>240</v>
      </c>
      <c r="D1508" s="11" t="s">
        <v>272</v>
      </c>
      <c r="E1508" s="11">
        <v>368</v>
      </c>
      <c r="F1508" s="11">
        <v>376</v>
      </c>
      <c r="G1508" s="11">
        <v>383</v>
      </c>
      <c r="H1508" s="11">
        <v>392</v>
      </c>
      <c r="I1508" s="11">
        <v>394</v>
      </c>
      <c r="J1508" s="11"/>
      <c r="K1508" s="11"/>
      <c r="L1508" s="11"/>
    </row>
    <row r="1509" spans="1:16" ht="15.75" customHeight="1" x14ac:dyDescent="0.35">
      <c r="B1509" s="20" t="s">
        <v>242</v>
      </c>
      <c r="C1509" s="21"/>
      <c r="D1509" s="22" t="s">
        <v>294</v>
      </c>
      <c r="E1509" s="23" t="s">
        <v>244</v>
      </c>
      <c r="F1509" s="23" t="s">
        <v>245</v>
      </c>
      <c r="G1509" s="23" t="s">
        <v>246</v>
      </c>
      <c r="H1509" s="23" t="s">
        <v>247</v>
      </c>
      <c r="I1509" s="23" t="s">
        <v>248</v>
      </c>
      <c r="O1509" s="4"/>
    </row>
    <row r="1510" spans="1:16" ht="1" customHeight="1" x14ac:dyDescent="0.35">
      <c r="B1510" s="24" t="s">
        <v>249</v>
      </c>
      <c r="C1510" s="25"/>
      <c r="D1510" s="25"/>
      <c r="E1510" s="25"/>
      <c r="F1510" s="25"/>
      <c r="G1510" s="25"/>
      <c r="H1510" s="25"/>
      <c r="I1510" s="25"/>
      <c r="O1510" t="e">
        <f>(O1508-3*O1507)/O1509</f>
        <v>#DIV/0!</v>
      </c>
    </row>
    <row r="1511" spans="1:16" ht="15.75" customHeight="1" x14ac:dyDescent="0.35">
      <c r="B1511" s="20" t="s">
        <v>250</v>
      </c>
      <c r="C1511" s="26">
        <v>0.20833333333333334</v>
      </c>
      <c r="D1511" s="26">
        <v>0.2951388888888889</v>
      </c>
      <c r="E1511" s="26">
        <v>0.36805555555555558</v>
      </c>
      <c r="F1511" s="26">
        <f>E1511+'Lookup Tables'!$N$1</f>
        <v>0.3888888888888889</v>
      </c>
      <c r="G1511" s="26">
        <f>F1511+'Lookup Tables'!$N$1</f>
        <v>0.40972222222222221</v>
      </c>
      <c r="H1511" s="26">
        <f>G1511+'Lookup Tables'!$N$1</f>
        <v>0.43055555555555552</v>
      </c>
      <c r="I1511" s="26">
        <f>H1511+'Lookup Tables'!$S$1</f>
        <v>0.44097222222222221</v>
      </c>
      <c r="N1511">
        <f>MAX(F1508:M1508)-O1511</f>
        <v>26</v>
      </c>
      <c r="O1511" t="str">
        <f>RIGHT(E1508,3)</f>
        <v>368</v>
      </c>
    </row>
    <row r="1512" spans="1:16" ht="15.75" customHeight="1" x14ac:dyDescent="0.35">
      <c r="B1512" s="20" t="s">
        <v>251</v>
      </c>
      <c r="C1512" s="27">
        <v>0.2</v>
      </c>
      <c r="D1512" s="27">
        <v>0.5</v>
      </c>
      <c r="E1512" s="27"/>
      <c r="F1512" s="27"/>
      <c r="G1512" s="27"/>
      <c r="H1512" s="27"/>
      <c r="I1512" s="25"/>
      <c r="N1512" t="str">
        <f xml:space="preserve">  N1511 &amp; " degrees this time"</f>
        <v>26 degrees this time</v>
      </c>
    </row>
    <row r="1513" spans="1:16" ht="15.75" customHeight="1" x14ac:dyDescent="0.35">
      <c r="B1513" s="20" t="s">
        <v>252</v>
      </c>
      <c r="C1513" s="27">
        <v>0.9</v>
      </c>
      <c r="D1513" s="27">
        <v>0.8</v>
      </c>
      <c r="E1513" s="27">
        <v>0.7</v>
      </c>
      <c r="F1513" s="27">
        <v>0.6</v>
      </c>
      <c r="G1513" s="27">
        <v>0.5</v>
      </c>
      <c r="H1513" s="27"/>
      <c r="I1513" s="27" t="s">
        <v>275</v>
      </c>
    </row>
    <row r="1514" spans="1:16" ht="15.75" customHeight="1" x14ac:dyDescent="0.35">
      <c r="B1514" s="20"/>
      <c r="D1514" s="11"/>
      <c r="E1514" s="11"/>
      <c r="F1514" s="11"/>
      <c r="G1514" s="40"/>
      <c r="H1514" s="35"/>
    </row>
    <row r="1515" spans="1:16" ht="15.75" customHeight="1" x14ac:dyDescent="0.35">
      <c r="B1515" s="20"/>
      <c r="G1515" s="1" t="s">
        <v>331</v>
      </c>
      <c r="K1515" s="32" t="s">
        <v>332</v>
      </c>
      <c r="L1515" s="9"/>
      <c r="M1515" s="9"/>
    </row>
    <row r="1516" spans="1:16" ht="15.75" customHeight="1" x14ac:dyDescent="0.35">
      <c r="B1516" s="30"/>
      <c r="G1516" s="1"/>
      <c r="H1516" s="1"/>
      <c r="K1516" s="32" t="s">
        <v>391</v>
      </c>
      <c r="L1516" s="9"/>
      <c r="M1516" s="9"/>
    </row>
    <row r="1517" spans="1:16" ht="15.75" customHeight="1" x14ac:dyDescent="0.35">
      <c r="B1517" s="30"/>
      <c r="G1517" s="1"/>
      <c r="H1517" s="1"/>
      <c r="K1517" s="9" t="s">
        <v>300</v>
      </c>
      <c r="L1517" s="9"/>
      <c r="M1517" s="9"/>
    </row>
    <row r="1518" spans="1:16" ht="15.75" customHeight="1" x14ac:dyDescent="0.35">
      <c r="B1518" s="9"/>
      <c r="C1518" s="9"/>
      <c r="D1518" s="9"/>
      <c r="E1518" s="9"/>
      <c r="F1518" s="12"/>
      <c r="G1518" s="12"/>
      <c r="H1518" s="12"/>
      <c r="I1518" s="12"/>
      <c r="J1518" s="12"/>
      <c r="K1518" s="12"/>
      <c r="L1518" s="1"/>
    </row>
    <row r="1519" spans="1:16" ht="15.75" customHeight="1" x14ac:dyDescent="0.35">
      <c r="B1519" s="13"/>
      <c r="C1519" s="13"/>
      <c r="D1519" s="15"/>
      <c r="G1519" s="13"/>
      <c r="H1519" s="14" t="s">
        <v>255</v>
      </c>
      <c r="I1519" s="13"/>
      <c r="J1519" s="1"/>
    </row>
    <row r="1520" spans="1:16" x14ac:dyDescent="0.35">
      <c r="B1520" s="13" t="s">
        <v>5</v>
      </c>
      <c r="C1520" s="13" t="s">
        <v>1</v>
      </c>
      <c r="D1520" s="15" t="str">
        <f>VLOOKUP(A1521,Inventory!$A$4:$K$1139,7)</f>
        <v xml:space="preserve">Klatch                             </v>
      </c>
      <c r="F1520" s="13" t="s">
        <v>235</v>
      </c>
      <c r="G1520" s="16"/>
      <c r="L1520" s="17"/>
      <c r="M1520" s="17"/>
    </row>
    <row r="1521" spans="1:16" x14ac:dyDescent="0.35">
      <c r="A1521">
        <v>163</v>
      </c>
      <c r="B1521" s="5">
        <v>44873</v>
      </c>
      <c r="C1521" s="15" t="str">
        <f>VLOOKUP(A1521,Inventory!$A$4:$K$1139,2)</f>
        <v>Guatemala Antigua Hunapu Micro Lot 2020</v>
      </c>
      <c r="E1521" s="11"/>
      <c r="F1521" s="31" t="s">
        <v>354</v>
      </c>
      <c r="G1521" s="2" t="s">
        <v>286</v>
      </c>
      <c r="L1521" s="17"/>
      <c r="M1521" s="17"/>
      <c r="P1521" s="8"/>
    </row>
    <row r="1522" spans="1:16" x14ac:dyDescent="0.35">
      <c r="B1522" s="13"/>
      <c r="C1522" s="13"/>
      <c r="D1522" s="11"/>
      <c r="F1522" s="13"/>
      <c r="G1522" s="16"/>
      <c r="I1522" s="1"/>
      <c r="L1522" s="19"/>
      <c r="M1522" s="19"/>
    </row>
    <row r="1523" spans="1:16" x14ac:dyDescent="0.35">
      <c r="B1523" s="20"/>
      <c r="C1523" s="11" t="s">
        <v>240</v>
      </c>
      <c r="D1523" s="11" t="s">
        <v>241</v>
      </c>
      <c r="E1523" s="11">
        <v>360</v>
      </c>
      <c r="F1523" s="11">
        <v>367</v>
      </c>
      <c r="G1523" s="11">
        <v>372</v>
      </c>
      <c r="H1523" s="11">
        <v>377</v>
      </c>
      <c r="I1523" s="11">
        <v>384</v>
      </c>
      <c r="J1523" s="11"/>
      <c r="K1523" s="11"/>
      <c r="L1523" s="11"/>
    </row>
    <row r="1524" spans="1:16" ht="15.75" customHeight="1" x14ac:dyDescent="0.35">
      <c r="B1524" s="20" t="s">
        <v>242</v>
      </c>
      <c r="C1524" s="30"/>
      <c r="D1524" s="30"/>
      <c r="E1524" s="23" t="s">
        <v>244</v>
      </c>
      <c r="F1524" s="23" t="s">
        <v>245</v>
      </c>
      <c r="G1524" s="23" t="s">
        <v>246</v>
      </c>
      <c r="H1524" s="23" t="s">
        <v>247</v>
      </c>
      <c r="I1524" s="23" t="s">
        <v>259</v>
      </c>
      <c r="O1524" s="4"/>
    </row>
    <row r="1525" spans="1:16" ht="1" customHeight="1" x14ac:dyDescent="0.35">
      <c r="B1525" s="24" t="s">
        <v>249</v>
      </c>
      <c r="C1525" s="25"/>
      <c r="D1525" s="25"/>
      <c r="E1525" s="25"/>
      <c r="F1525" s="25"/>
      <c r="G1525" s="25"/>
      <c r="H1525" s="25"/>
      <c r="I1525" s="25"/>
      <c r="O1525" t="e">
        <f>(O1523-3*O1522)/O1524</f>
        <v>#DIV/0!</v>
      </c>
    </row>
    <row r="1526" spans="1:16" ht="15.75" customHeight="1" x14ac:dyDescent="0.35">
      <c r="B1526" s="20" t="s">
        <v>250</v>
      </c>
      <c r="C1526" s="26">
        <v>0.1875</v>
      </c>
      <c r="D1526" s="26">
        <v>0.26041666666666669</v>
      </c>
      <c r="E1526" s="26">
        <v>0.34027777777777773</v>
      </c>
      <c r="F1526" s="26">
        <f>E1526+'Lookup Tables'!$N$1</f>
        <v>0.36111111111111105</v>
      </c>
      <c r="G1526" s="26">
        <f>F1526+'Lookup Tables'!$N$1</f>
        <v>0.38194444444444436</v>
      </c>
      <c r="H1526" s="26">
        <f>G1526+'Lookup Tables'!$N$1</f>
        <v>0.40277777777777768</v>
      </c>
      <c r="I1526" s="26">
        <f>H1526+'Lookup Tables'!$N$1</f>
        <v>0.42361111111111099</v>
      </c>
      <c r="N1526">
        <f>MAX(F1523:M1523)-O1526</f>
        <v>24</v>
      </c>
      <c r="O1526" t="str">
        <f>RIGHT(E1523,3)</f>
        <v>360</v>
      </c>
    </row>
    <row r="1527" spans="1:16" ht="15.75" customHeight="1" x14ac:dyDescent="0.35">
      <c r="B1527" s="20" t="s">
        <v>251</v>
      </c>
      <c r="C1527" s="27">
        <v>0.2</v>
      </c>
      <c r="D1527" s="27">
        <v>0.5</v>
      </c>
      <c r="E1527" s="27"/>
      <c r="F1527" s="27"/>
      <c r="G1527" s="27"/>
      <c r="H1527" s="27"/>
      <c r="I1527" s="25"/>
      <c r="N1527" t="str">
        <f xml:space="preserve">  N1526 &amp; " degrees this time"</f>
        <v>24 degrees this time</v>
      </c>
    </row>
    <row r="1528" spans="1:16" ht="15.75" customHeight="1" x14ac:dyDescent="0.35">
      <c r="B1528" s="20" t="s">
        <v>252</v>
      </c>
      <c r="C1528" s="27">
        <v>0.9</v>
      </c>
      <c r="D1528" s="27">
        <v>0.7</v>
      </c>
      <c r="E1528" s="27"/>
      <c r="F1528" s="27"/>
      <c r="G1528" s="27">
        <v>0.6</v>
      </c>
      <c r="H1528" s="27">
        <v>0.4</v>
      </c>
      <c r="I1528" s="27" t="s">
        <v>275</v>
      </c>
    </row>
    <row r="1529" spans="1:16" ht="15.75" customHeight="1" x14ac:dyDescent="0.35">
      <c r="B1529" s="20"/>
      <c r="D1529" s="37"/>
      <c r="E1529" s="11"/>
      <c r="F1529" s="11"/>
      <c r="G1529" s="40"/>
      <c r="H1529" s="11"/>
      <c r="I1529" s="11"/>
      <c r="J1529" s="37"/>
      <c r="K1529" s="32" t="s">
        <v>306</v>
      </c>
      <c r="L1529" s="9"/>
      <c r="M1529" s="9"/>
    </row>
    <row r="1530" spans="1:16" ht="15.75" customHeight="1" x14ac:dyDescent="0.35">
      <c r="G1530" s="1" t="s">
        <v>307</v>
      </c>
      <c r="H1530" s="1"/>
      <c r="K1530" s="32"/>
      <c r="L1530" s="9"/>
      <c r="M1530" s="9"/>
    </row>
    <row r="1531" spans="1:16" ht="15.75" customHeight="1" x14ac:dyDescent="0.35">
      <c r="B1531" s="20"/>
      <c r="G1531" s="1"/>
      <c r="H1531" s="1"/>
      <c r="K1531" s="32" t="s">
        <v>309</v>
      </c>
      <c r="L1531" s="9"/>
      <c r="M1531" s="9"/>
    </row>
    <row r="1532" spans="1:16" ht="15.75" customHeight="1" x14ac:dyDescent="0.35">
      <c r="B1532" s="20"/>
      <c r="G1532" s="1"/>
      <c r="H1532" s="1"/>
      <c r="K1532" s="9" t="s">
        <v>300</v>
      </c>
      <c r="L1532" s="9"/>
      <c r="M1532" s="9"/>
    </row>
    <row r="1533" spans="1:16" ht="15.75" customHeight="1" x14ac:dyDescent="0.35">
      <c r="B1533" s="9"/>
      <c r="C1533" s="9"/>
      <c r="D1533" s="9"/>
      <c r="E1533" s="9"/>
      <c r="F1533" s="12"/>
      <c r="G1533" s="12"/>
      <c r="H1533" s="12"/>
      <c r="I1533" s="12"/>
      <c r="J1533" s="12"/>
      <c r="K1533" s="12"/>
      <c r="L1533" s="1"/>
    </row>
    <row r="1534" spans="1:16" ht="15.75" customHeight="1" x14ac:dyDescent="0.35">
      <c r="B1534" s="13"/>
      <c r="C1534" s="13"/>
      <c r="D1534" s="15"/>
    </row>
    <row r="1535" spans="1:16" x14ac:dyDescent="0.35">
      <c r="B1535" s="13" t="s">
        <v>5</v>
      </c>
      <c r="C1535" s="13" t="s">
        <v>1</v>
      </c>
      <c r="D1535" s="15" t="str">
        <f>VLOOKUP(A1536,Inventory!$A$4:$K$1139,7)</f>
        <v xml:space="preserve">GCBC                               </v>
      </c>
      <c r="F1535" s="13" t="s">
        <v>235</v>
      </c>
      <c r="G1535" s="16"/>
      <c r="L1535" s="17"/>
      <c r="M1535" s="17"/>
    </row>
    <row r="1536" spans="1:16" x14ac:dyDescent="0.35">
      <c r="A1536">
        <v>160</v>
      </c>
      <c r="B1536" s="5">
        <v>44873</v>
      </c>
      <c r="C1536" s="15" t="str">
        <f>VLOOKUP(A1536,Inventory!$A$4:$K$1139,2)</f>
        <v>Sumatra Mandheling Takengon 2020</v>
      </c>
      <c r="E1536" s="11"/>
      <c r="F1536" s="34" t="s">
        <v>279</v>
      </c>
      <c r="G1536" s="2" t="s">
        <v>270</v>
      </c>
      <c r="J1536" s="8"/>
      <c r="L1536" s="17"/>
      <c r="M1536" s="17"/>
      <c r="P1536" s="8"/>
    </row>
    <row r="1537" spans="1:16" x14ac:dyDescent="0.35">
      <c r="B1537" s="13"/>
      <c r="C1537" s="13"/>
      <c r="D1537" s="11"/>
      <c r="F1537" s="13"/>
      <c r="G1537" s="16"/>
      <c r="K1537" s="1"/>
      <c r="L1537" s="19"/>
      <c r="M1537" s="19"/>
    </row>
    <row r="1538" spans="1:16" x14ac:dyDescent="0.35">
      <c r="B1538" s="20"/>
      <c r="C1538" s="11" t="s">
        <v>240</v>
      </c>
      <c r="D1538" s="11" t="s">
        <v>301</v>
      </c>
      <c r="E1538" s="11">
        <v>372</v>
      </c>
      <c r="F1538" s="11">
        <v>379</v>
      </c>
      <c r="G1538" s="11">
        <v>385</v>
      </c>
      <c r="H1538" s="11">
        <v>390</v>
      </c>
      <c r="I1538" s="11">
        <v>396</v>
      </c>
      <c r="J1538" s="11"/>
      <c r="K1538" s="11"/>
      <c r="L1538" s="11"/>
    </row>
    <row r="1539" spans="1:16" ht="15.75" customHeight="1" x14ac:dyDescent="0.35">
      <c r="B1539" s="20" t="s">
        <v>242</v>
      </c>
      <c r="C1539" s="21"/>
      <c r="D1539" s="22" t="s">
        <v>302</v>
      </c>
      <c r="E1539" s="23" t="s">
        <v>244</v>
      </c>
      <c r="F1539" s="23" t="s">
        <v>245</v>
      </c>
      <c r="G1539" s="23" t="s">
        <v>246</v>
      </c>
      <c r="H1539" s="23" t="s">
        <v>247</v>
      </c>
      <c r="I1539" s="23" t="s">
        <v>259</v>
      </c>
      <c r="O1539" s="4"/>
    </row>
    <row r="1540" spans="1:16" ht="1" customHeight="1" x14ac:dyDescent="0.35">
      <c r="B1540" s="24" t="s">
        <v>249</v>
      </c>
      <c r="C1540" s="25"/>
      <c r="D1540" s="25"/>
      <c r="E1540" s="25"/>
      <c r="F1540" s="25"/>
      <c r="G1540" s="25"/>
      <c r="H1540" s="25"/>
      <c r="I1540" s="25"/>
      <c r="O1540" t="e">
        <f>(O1538-3*O1537)/O1539</f>
        <v>#DIV/0!</v>
      </c>
    </row>
    <row r="1541" spans="1:16" ht="15.75" customHeight="1" x14ac:dyDescent="0.35">
      <c r="B1541" s="20" t="s">
        <v>250</v>
      </c>
      <c r="C1541" s="26">
        <v>0.23958333333333334</v>
      </c>
      <c r="D1541" s="26">
        <v>0.33680555555555558</v>
      </c>
      <c r="E1541" s="26">
        <v>0.41666666666666669</v>
      </c>
      <c r="F1541" s="26">
        <f>E1541+'Lookup Tables'!$N$1</f>
        <v>0.4375</v>
      </c>
      <c r="G1541" s="26">
        <f>F1541+'Lookup Tables'!$N$1</f>
        <v>0.45833333333333331</v>
      </c>
      <c r="H1541" s="26">
        <f>G1541+'Lookup Tables'!$N$1</f>
        <v>0.47916666666666663</v>
      </c>
      <c r="I1541" s="26">
        <f>H1541+'Lookup Tables'!$N$1</f>
        <v>0.49999999999999994</v>
      </c>
      <c r="N1541">
        <f>MAX(F1538:M1538)-O1541</f>
        <v>24</v>
      </c>
      <c r="O1541" t="str">
        <f>RIGHT(E1538,3)</f>
        <v>372</v>
      </c>
    </row>
    <row r="1542" spans="1:16" ht="15.75" customHeight="1" x14ac:dyDescent="0.35">
      <c r="B1542" s="20" t="s">
        <v>251</v>
      </c>
      <c r="C1542" s="27">
        <v>0.2</v>
      </c>
      <c r="D1542" s="27">
        <v>0.5</v>
      </c>
      <c r="E1542" s="27"/>
      <c r="F1542" s="27"/>
      <c r="G1542" s="27"/>
      <c r="H1542" s="27"/>
      <c r="I1542" s="27"/>
      <c r="N1542" t="str">
        <f xml:space="preserve">  N1541 &amp; " degrees this time"</f>
        <v>24 degrees this time</v>
      </c>
    </row>
    <row r="1543" spans="1:16" ht="15.75" customHeight="1" x14ac:dyDescent="0.35">
      <c r="B1543" s="20" t="s">
        <v>252</v>
      </c>
      <c r="C1543" s="27">
        <v>0.9</v>
      </c>
      <c r="D1543" s="27">
        <v>0.7</v>
      </c>
      <c r="E1543" s="27">
        <v>0.4</v>
      </c>
      <c r="F1543" s="27" t="s">
        <v>274</v>
      </c>
      <c r="G1543" s="27"/>
      <c r="H1543" s="27"/>
      <c r="I1543" s="27"/>
    </row>
    <row r="1544" spans="1:16" ht="15.75" customHeight="1" x14ac:dyDescent="0.35">
      <c r="B1544" s="20"/>
      <c r="D1544" s="11"/>
      <c r="E1544" s="11"/>
      <c r="F1544" s="11"/>
      <c r="G1544" s="11"/>
      <c r="H1544" s="11"/>
      <c r="I1544" s="11"/>
      <c r="J1544" s="37"/>
      <c r="K1544" s="37"/>
      <c r="L1544" s="35"/>
    </row>
    <row r="1545" spans="1:16" ht="15.75" customHeight="1" x14ac:dyDescent="0.35">
      <c r="B1545" s="38"/>
      <c r="E1545" s="11"/>
      <c r="G1545" s="1" t="s">
        <v>303</v>
      </c>
      <c r="H1545" s="1"/>
      <c r="K1545" s="32"/>
      <c r="L1545" s="9"/>
      <c r="M1545" s="9"/>
    </row>
    <row r="1546" spans="1:16" ht="15.75" customHeight="1" x14ac:dyDescent="0.35">
      <c r="B1546" s="20"/>
      <c r="G1546" s="1"/>
      <c r="H1546" s="1"/>
      <c r="K1546" s="32"/>
      <c r="L1546" s="9"/>
      <c r="M1546" s="9"/>
    </row>
    <row r="1547" spans="1:16" ht="15.75" customHeight="1" x14ac:dyDescent="0.35">
      <c r="B1547" s="20"/>
      <c r="G1547" s="1"/>
      <c r="H1547" s="1"/>
      <c r="K1547" s="9" t="s">
        <v>300</v>
      </c>
      <c r="L1547" s="9"/>
      <c r="M1547" s="9"/>
    </row>
    <row r="1548" spans="1:16" ht="15.75" customHeight="1" x14ac:dyDescent="0.35">
      <c r="B1548" s="9"/>
      <c r="C1548" s="9"/>
      <c r="D1548" s="9"/>
      <c r="E1548" s="9"/>
      <c r="F1548" s="12"/>
      <c r="G1548" s="12"/>
      <c r="H1548" s="12"/>
      <c r="I1548" s="12"/>
      <c r="J1548" s="12"/>
      <c r="K1548" s="12"/>
      <c r="L1548" s="1"/>
    </row>
    <row r="1549" spans="1:16" ht="15.75" customHeight="1" x14ac:dyDescent="0.35">
      <c r="B1549" s="13"/>
      <c r="C1549" s="13"/>
      <c r="D1549" s="15"/>
      <c r="F1549" s="33" t="s">
        <v>305</v>
      </c>
      <c r="G1549" s="16"/>
      <c r="H1549" s="14"/>
    </row>
    <row r="1550" spans="1:16" x14ac:dyDescent="0.35">
      <c r="B1550" s="13" t="s">
        <v>5</v>
      </c>
      <c r="C1550" s="13" t="s">
        <v>1</v>
      </c>
      <c r="D1550" s="15" t="str">
        <f>VLOOKUP(A1551,Inventory!$A$4:$K$1139,7)</f>
        <v xml:space="preserve">GCBC                               </v>
      </c>
      <c r="F1550" s="13" t="s">
        <v>235</v>
      </c>
      <c r="G1550" s="16"/>
      <c r="L1550" s="17"/>
      <c r="M1550" s="17"/>
    </row>
    <row r="1551" spans="1:16" x14ac:dyDescent="0.35">
      <c r="A1551">
        <v>147</v>
      </c>
      <c r="B1551" s="5">
        <v>44863</v>
      </c>
      <c r="C1551" s="15" t="str">
        <f>VLOOKUP(A1551,Inventory!$A$4:$K$1139,2)</f>
        <v>Brazil Legender Estate Pea-B 2018</v>
      </c>
      <c r="F1551" s="18" t="s">
        <v>291</v>
      </c>
      <c r="G1551" s="2" t="s">
        <v>270</v>
      </c>
      <c r="L1551" s="17"/>
      <c r="M1551" s="17"/>
      <c r="P1551" s="8"/>
    </row>
    <row r="1552" spans="1:16" x14ac:dyDescent="0.35">
      <c r="B1552" s="13"/>
      <c r="C1552" s="13"/>
      <c r="D1552" s="15"/>
      <c r="E1552" s="15"/>
      <c r="F1552" s="15"/>
      <c r="G1552" s="15"/>
      <c r="H1552" s="9" t="s">
        <v>365</v>
      </c>
      <c r="L1552" s="19"/>
      <c r="M1552" s="19"/>
    </row>
    <row r="1553" spans="1:16" x14ac:dyDescent="0.35">
      <c r="B1553" s="20"/>
      <c r="C1553" s="11" t="s">
        <v>240</v>
      </c>
      <c r="D1553" s="11" t="s">
        <v>301</v>
      </c>
      <c r="E1553" s="11">
        <v>379</v>
      </c>
      <c r="F1553" s="11">
        <v>387</v>
      </c>
      <c r="G1553" s="11">
        <v>395</v>
      </c>
      <c r="H1553" s="11">
        <v>403</v>
      </c>
      <c r="I1553" s="11">
        <v>409</v>
      </c>
      <c r="J1553" s="11"/>
      <c r="K1553" s="11"/>
      <c r="L1553" s="11"/>
    </row>
    <row r="1554" spans="1:16" ht="15.75" customHeight="1" x14ac:dyDescent="0.35">
      <c r="B1554" s="20" t="s">
        <v>242</v>
      </c>
      <c r="C1554" s="21"/>
      <c r="D1554" s="22" t="s">
        <v>302</v>
      </c>
      <c r="E1554" s="23" t="s">
        <v>244</v>
      </c>
      <c r="F1554" s="23" t="s">
        <v>245</v>
      </c>
      <c r="G1554" s="23" t="s">
        <v>246</v>
      </c>
      <c r="H1554" s="23" t="s">
        <v>247</v>
      </c>
      <c r="I1554" s="23" t="s">
        <v>259</v>
      </c>
      <c r="J1554" s="23" t="s">
        <v>260</v>
      </c>
      <c r="O1554" s="4"/>
    </row>
    <row r="1555" spans="1:16" ht="1" customHeight="1" x14ac:dyDescent="0.35">
      <c r="B1555" s="24" t="s">
        <v>249</v>
      </c>
      <c r="C1555" s="25"/>
      <c r="D1555" s="25"/>
      <c r="E1555" s="25"/>
      <c r="F1555" s="25"/>
      <c r="G1555" s="25"/>
      <c r="H1555" s="25"/>
      <c r="I1555" s="25"/>
      <c r="O1555" t="e">
        <f>(O1553-3*O1552)/O1554</f>
        <v>#DIV/0!</v>
      </c>
    </row>
    <row r="1556" spans="1:16" ht="15.75" customHeight="1" x14ac:dyDescent="0.35">
      <c r="B1556" s="20" t="s">
        <v>250</v>
      </c>
      <c r="C1556" s="26"/>
      <c r="D1556" s="26"/>
      <c r="E1556" s="26"/>
      <c r="F1556" s="26">
        <f>E1556+'Lookup Tables'!$N$1</f>
        <v>2.0833333333333332E-2</v>
      </c>
      <c r="G1556" s="26">
        <f>F1556+'Lookup Tables'!$N$1</f>
        <v>4.1666666666666664E-2</v>
      </c>
      <c r="H1556" s="26">
        <f>G1556+'Lookup Tables'!$N$1</f>
        <v>6.25E-2</v>
      </c>
      <c r="I1556" s="26">
        <f>H1556+'Lookup Tables'!$N$1</f>
        <v>8.3333333333333329E-2</v>
      </c>
      <c r="J1556" s="26">
        <f>I1556+'Lookup Tables'!$M$1</f>
        <v>9.375E-2</v>
      </c>
      <c r="N1556">
        <f>MAX(F1553:M1553)-O1556</f>
        <v>30</v>
      </c>
      <c r="O1556" t="str">
        <f>RIGHT(E1553,3)</f>
        <v>379</v>
      </c>
    </row>
    <row r="1557" spans="1:16" ht="15.75" customHeight="1" x14ac:dyDescent="0.35">
      <c r="B1557" s="20" t="s">
        <v>251</v>
      </c>
      <c r="C1557" s="27">
        <v>0.2</v>
      </c>
      <c r="D1557" s="27">
        <v>0.5</v>
      </c>
      <c r="E1557" s="27"/>
      <c r="F1557" s="27"/>
      <c r="G1557" s="25"/>
      <c r="H1557" s="25"/>
      <c r="I1557" s="25"/>
      <c r="J1557" s="27"/>
      <c r="N1557" t="str">
        <f xml:space="preserve">  N1556 &amp; " degrees this time"</f>
        <v>30 degrees this time</v>
      </c>
    </row>
    <row r="1558" spans="1:16" ht="15.75" customHeight="1" x14ac:dyDescent="0.35">
      <c r="B1558" s="20" t="s">
        <v>252</v>
      </c>
      <c r="C1558" s="27">
        <v>0.9</v>
      </c>
      <c r="D1558" s="27">
        <v>0.6</v>
      </c>
      <c r="E1558" s="27">
        <v>0.5</v>
      </c>
      <c r="F1558" s="27"/>
      <c r="G1558" s="27"/>
      <c r="H1558" s="25"/>
      <c r="I1558" s="27"/>
      <c r="J1558" s="27" t="s">
        <v>275</v>
      </c>
    </row>
    <row r="1559" spans="1:16" ht="15.75" customHeight="1" x14ac:dyDescent="0.35">
      <c r="B1559" s="20"/>
      <c r="D1559" s="11"/>
      <c r="E1559" s="28" t="s">
        <v>392</v>
      </c>
      <c r="F1559" s="11"/>
    </row>
    <row r="1560" spans="1:16" ht="15.75" customHeight="1" x14ac:dyDescent="0.35">
      <c r="G1560" s="1" t="s">
        <v>393</v>
      </c>
      <c r="H1560" s="1"/>
      <c r="K1560" s="9" t="s">
        <v>394</v>
      </c>
      <c r="L1560" s="9"/>
      <c r="M1560" s="9"/>
    </row>
    <row r="1561" spans="1:16" ht="15.75" customHeight="1" x14ac:dyDescent="0.35">
      <c r="B1561" s="20"/>
      <c r="G1561" s="1"/>
      <c r="H1561" s="1"/>
      <c r="K1561" s="9"/>
      <c r="L1561" s="9"/>
      <c r="M1561" s="9"/>
    </row>
    <row r="1562" spans="1:16" ht="15.75" customHeight="1" x14ac:dyDescent="0.35">
      <c r="B1562" s="20"/>
      <c r="G1562" s="1"/>
      <c r="H1562" s="1"/>
      <c r="K1562" s="9" t="s">
        <v>254</v>
      </c>
      <c r="L1562" s="9"/>
      <c r="M1562" s="9"/>
    </row>
    <row r="1563" spans="1:16" ht="15.75" customHeight="1" x14ac:dyDescent="0.35">
      <c r="B1563" s="9"/>
      <c r="C1563" s="9"/>
      <c r="D1563" s="9"/>
      <c r="E1563" s="9"/>
      <c r="F1563" s="12"/>
      <c r="G1563" s="12"/>
      <c r="H1563" s="12"/>
      <c r="I1563" s="12"/>
      <c r="J1563" s="12"/>
      <c r="K1563" s="12"/>
      <c r="L1563" s="1"/>
    </row>
    <row r="1564" spans="1:16" ht="15.75" customHeight="1" x14ac:dyDescent="0.35">
      <c r="B1564" s="13"/>
      <c r="C1564" s="13"/>
      <c r="D1564" s="13"/>
      <c r="E1564" s="13"/>
      <c r="F1564" s="13"/>
      <c r="H1564" s="14" t="s">
        <v>255</v>
      </c>
      <c r="I1564" s="13"/>
    </row>
    <row r="1565" spans="1:16" x14ac:dyDescent="0.35">
      <c r="B1565" s="13" t="s">
        <v>5</v>
      </c>
      <c r="C1565" s="13" t="s">
        <v>1</v>
      </c>
      <c r="D1565" s="15" t="e">
        <f>VLOOKUP(A1566,Inventory!$A$4:$K$1139,7)</f>
        <v>#N/A</v>
      </c>
      <c r="F1565" s="13" t="s">
        <v>235</v>
      </c>
      <c r="G1565" s="16"/>
      <c r="J1565" s="8"/>
      <c r="K1565" s="17"/>
      <c r="L1565" s="17"/>
      <c r="M1565" s="17"/>
    </row>
    <row r="1566" spans="1:16" x14ac:dyDescent="0.35">
      <c r="A1566">
        <v>0</v>
      </c>
      <c r="B1566" s="5">
        <v>44863</v>
      </c>
      <c r="C1566" s="15" t="s">
        <v>364</v>
      </c>
      <c r="F1566" s="51" t="s">
        <v>346</v>
      </c>
      <c r="G1566" s="2" t="s">
        <v>238</v>
      </c>
      <c r="L1566" s="17"/>
      <c r="M1566" s="17"/>
      <c r="P1566" s="8"/>
    </row>
    <row r="1567" spans="1:16" x14ac:dyDescent="0.35">
      <c r="B1567" s="13"/>
      <c r="C1567" s="13"/>
      <c r="D1567" s="15"/>
      <c r="F1567" s="13"/>
      <c r="G1567" s="16"/>
      <c r="H1567" s="9" t="s">
        <v>365</v>
      </c>
      <c r="J1567" s="2"/>
      <c r="L1567" s="19"/>
      <c r="M1567" s="19"/>
    </row>
    <row r="1568" spans="1:16" x14ac:dyDescent="0.35">
      <c r="B1568" s="20"/>
      <c r="C1568" s="11" t="s">
        <v>240</v>
      </c>
      <c r="D1568" s="11" t="s">
        <v>272</v>
      </c>
      <c r="E1568" s="11">
        <v>371</v>
      </c>
      <c r="F1568" s="11">
        <v>379</v>
      </c>
      <c r="G1568" s="11">
        <v>390</v>
      </c>
      <c r="H1568" s="11">
        <v>397</v>
      </c>
      <c r="I1568" s="11">
        <v>405</v>
      </c>
      <c r="J1568" s="11"/>
      <c r="K1568" s="11"/>
      <c r="L1568" s="11"/>
    </row>
    <row r="1569" spans="1:16" ht="15.75" customHeight="1" x14ac:dyDescent="0.35">
      <c r="B1569" s="20" t="s">
        <v>242</v>
      </c>
      <c r="C1569" s="30"/>
      <c r="D1569" s="30"/>
      <c r="E1569" s="23" t="s">
        <v>244</v>
      </c>
      <c r="F1569" s="23" t="s">
        <v>245</v>
      </c>
      <c r="G1569" s="23" t="s">
        <v>246</v>
      </c>
      <c r="H1569" s="23" t="s">
        <v>247</v>
      </c>
      <c r="I1569" s="23" t="s">
        <v>259</v>
      </c>
      <c r="J1569" s="23" t="s">
        <v>260</v>
      </c>
      <c r="O1569" s="4"/>
    </row>
    <row r="1570" spans="1:16" ht="1" customHeight="1" x14ac:dyDescent="0.35">
      <c r="B1570" s="24" t="s">
        <v>249</v>
      </c>
      <c r="C1570" s="25"/>
      <c r="D1570" s="25"/>
      <c r="E1570" s="25"/>
      <c r="F1570" s="25"/>
      <c r="G1570" s="25"/>
      <c r="H1570" s="25"/>
      <c r="I1570" s="25"/>
      <c r="O1570" t="e">
        <f>(O1568-3*O1567)/O1569</f>
        <v>#DIV/0!</v>
      </c>
    </row>
    <row r="1571" spans="1:16" ht="15.75" customHeight="1" x14ac:dyDescent="0.35">
      <c r="B1571" s="20" t="s">
        <v>250</v>
      </c>
      <c r="C1571" s="26">
        <v>0.23958333333333334</v>
      </c>
      <c r="D1571" s="26">
        <v>0.3298611111111111</v>
      </c>
      <c r="E1571" s="26">
        <v>0.4236111111111111</v>
      </c>
      <c r="F1571" s="26">
        <f>E1571+'Lookup Tables'!$N$1</f>
        <v>0.44444444444444442</v>
      </c>
      <c r="G1571" s="26">
        <f>F1571+'Lookup Tables'!$N$1</f>
        <v>0.46527777777777773</v>
      </c>
      <c r="H1571" s="26">
        <f>G1571+'Lookup Tables'!$N$1</f>
        <v>0.48611111111111105</v>
      </c>
      <c r="I1571" s="26">
        <f>H1571+'Lookup Tables'!$N$1</f>
        <v>0.50694444444444442</v>
      </c>
      <c r="J1571" s="26">
        <f>I1571+'Lookup Tables'!$M$1</f>
        <v>0.51736111111111105</v>
      </c>
      <c r="N1571">
        <f>MAX(F1568:M1568)-O1571</f>
        <v>34</v>
      </c>
      <c r="O1571" t="str">
        <f>RIGHT(E1568,3)</f>
        <v>371</v>
      </c>
    </row>
    <row r="1572" spans="1:16" ht="15.75" customHeight="1" x14ac:dyDescent="0.35">
      <c r="B1572" s="20" t="s">
        <v>251</v>
      </c>
      <c r="C1572" s="27">
        <v>0.2</v>
      </c>
      <c r="D1572" s="27">
        <v>0.5</v>
      </c>
      <c r="E1572" s="27"/>
      <c r="F1572" s="27"/>
      <c r="G1572" s="27" t="s">
        <v>274</v>
      </c>
      <c r="H1572" s="27"/>
      <c r="I1572" s="27"/>
      <c r="J1572" s="27"/>
      <c r="N1572" t="str">
        <f xml:space="preserve">  N1571 &amp; " degrees this time"</f>
        <v>34 degrees this time</v>
      </c>
    </row>
    <row r="1573" spans="1:16" ht="15.75" customHeight="1" x14ac:dyDescent="0.35">
      <c r="B1573" s="20" t="s">
        <v>252</v>
      </c>
      <c r="C1573" s="27">
        <v>0.9</v>
      </c>
      <c r="D1573" s="27">
        <v>0.8</v>
      </c>
      <c r="E1573" s="27">
        <v>0.7</v>
      </c>
      <c r="F1573" s="27">
        <v>0.4</v>
      </c>
      <c r="G1573" s="27" t="s">
        <v>274</v>
      </c>
      <c r="H1573" s="27"/>
      <c r="I1573" s="27"/>
      <c r="J1573" s="27" t="s">
        <v>275</v>
      </c>
    </row>
    <row r="1574" spans="1:16" ht="15.75" customHeight="1" x14ac:dyDescent="0.35">
      <c r="B1574" s="20"/>
      <c r="D1574" s="11"/>
      <c r="E1574" s="11"/>
      <c r="F1574" s="11"/>
      <c r="G1574" s="13"/>
      <c r="H1574" s="13"/>
      <c r="I1574" s="13"/>
      <c r="J1574" s="37"/>
      <c r="L1574" s="35"/>
    </row>
    <row r="1575" spans="1:16" ht="15.75" customHeight="1" x14ac:dyDescent="0.35">
      <c r="G1575" s="1" t="s">
        <v>366</v>
      </c>
      <c r="H1575" s="1"/>
      <c r="K1575" s="9" t="s">
        <v>367</v>
      </c>
      <c r="L1575" s="9"/>
      <c r="M1575" s="9"/>
    </row>
    <row r="1576" spans="1:16" ht="15.75" customHeight="1" x14ac:dyDescent="0.35">
      <c r="B1576" s="20"/>
      <c r="G1576" s="1"/>
      <c r="H1576" s="1"/>
      <c r="K1576" s="32" t="s">
        <v>368</v>
      </c>
      <c r="L1576" s="9"/>
      <c r="M1576" s="9"/>
    </row>
    <row r="1577" spans="1:16" ht="15.75" customHeight="1" x14ac:dyDescent="0.35">
      <c r="B1577" s="20"/>
      <c r="G1577" s="1"/>
      <c r="H1577" s="1"/>
      <c r="K1577" s="9" t="s">
        <v>254</v>
      </c>
      <c r="L1577" s="9"/>
      <c r="M1577" s="9"/>
    </row>
    <row r="1578" spans="1:16" ht="15.75" customHeight="1" x14ac:dyDescent="0.35">
      <c r="B1578" s="9"/>
      <c r="C1578" s="9"/>
      <c r="D1578" s="9"/>
      <c r="E1578" s="9"/>
      <c r="F1578" s="12"/>
      <c r="G1578" s="12"/>
      <c r="H1578" s="12"/>
      <c r="I1578" s="12"/>
      <c r="J1578" s="12"/>
      <c r="K1578" s="12"/>
      <c r="L1578" s="1"/>
    </row>
    <row r="1579" spans="1:16" ht="15.75" customHeight="1" x14ac:dyDescent="0.35">
      <c r="B1579" s="13"/>
      <c r="C1579" s="13"/>
      <c r="D1579" s="13"/>
      <c r="E1579" s="13"/>
      <c r="F1579" s="13"/>
      <c r="H1579" s="14" t="s">
        <v>255</v>
      </c>
      <c r="I1579" s="13"/>
    </row>
    <row r="1580" spans="1:16" x14ac:dyDescent="0.35">
      <c r="B1580" s="13" t="s">
        <v>5</v>
      </c>
      <c r="C1580" s="13" t="s">
        <v>1</v>
      </c>
      <c r="D1580" s="15" t="e">
        <f>VLOOKUP(A1581,Inventory!$A$4:$K$1139,7)</f>
        <v>#N/A</v>
      </c>
      <c r="F1580" s="13" t="s">
        <v>235</v>
      </c>
      <c r="G1580" s="16"/>
      <c r="J1580" s="8"/>
      <c r="K1580" s="17"/>
      <c r="L1580" s="17"/>
      <c r="M1580" s="17"/>
    </row>
    <row r="1581" spans="1:16" x14ac:dyDescent="0.35">
      <c r="A1581">
        <v>0</v>
      </c>
      <c r="B1581" s="5">
        <v>44863</v>
      </c>
      <c r="C1581" s="15" t="s">
        <v>364</v>
      </c>
      <c r="F1581" s="51" t="s">
        <v>346</v>
      </c>
      <c r="G1581" s="2" t="s">
        <v>238</v>
      </c>
      <c r="L1581" s="17"/>
      <c r="M1581" s="17"/>
      <c r="P1581" s="8"/>
    </row>
    <row r="1582" spans="1:16" x14ac:dyDescent="0.35">
      <c r="B1582" s="13"/>
      <c r="C1582" s="13"/>
      <c r="D1582" s="15"/>
      <c r="F1582" s="13"/>
      <c r="G1582" s="16"/>
      <c r="I1582" s="2" t="s">
        <v>239</v>
      </c>
      <c r="J1582" s="2"/>
      <c r="L1582" s="19"/>
      <c r="M1582" s="19"/>
    </row>
    <row r="1583" spans="1:16" x14ac:dyDescent="0.35">
      <c r="B1583" s="20"/>
      <c r="C1583" s="11" t="s">
        <v>240</v>
      </c>
      <c r="D1583" s="11" t="s">
        <v>272</v>
      </c>
      <c r="E1583" s="11">
        <v>374</v>
      </c>
      <c r="F1583" s="11">
        <v>382</v>
      </c>
      <c r="G1583" s="11">
        <v>391</v>
      </c>
      <c r="H1583" s="11">
        <v>400</v>
      </c>
      <c r="I1583" s="11">
        <v>408</v>
      </c>
      <c r="J1583" s="11"/>
      <c r="K1583" s="11"/>
      <c r="L1583" s="11"/>
    </row>
    <row r="1584" spans="1:16" ht="15.75" customHeight="1" x14ac:dyDescent="0.35">
      <c r="B1584" s="20" t="s">
        <v>242</v>
      </c>
      <c r="C1584" s="30"/>
      <c r="D1584" s="30"/>
      <c r="E1584" s="23" t="s">
        <v>244</v>
      </c>
      <c r="F1584" s="23" t="s">
        <v>245</v>
      </c>
      <c r="G1584" s="23" t="s">
        <v>246</v>
      </c>
      <c r="H1584" s="23" t="s">
        <v>247</v>
      </c>
      <c r="I1584" s="23" t="s">
        <v>248</v>
      </c>
      <c r="J1584" s="23" t="s">
        <v>259</v>
      </c>
      <c r="O1584" s="4"/>
    </row>
    <row r="1585" spans="1:16" ht="1" customHeight="1" x14ac:dyDescent="0.35">
      <c r="B1585" s="24" t="s">
        <v>249</v>
      </c>
      <c r="C1585" s="25"/>
      <c r="D1585" s="25"/>
      <c r="E1585" s="25"/>
      <c r="F1585" s="25"/>
      <c r="G1585" s="25"/>
      <c r="H1585" s="25"/>
      <c r="I1585" s="25"/>
      <c r="O1585" t="e">
        <f>(O1583-3*O1582)/O1584</f>
        <v>#DIV/0!</v>
      </c>
    </row>
    <row r="1586" spans="1:16" ht="15.75" customHeight="1" x14ac:dyDescent="0.35">
      <c r="B1586" s="20" t="s">
        <v>250</v>
      </c>
      <c r="C1586" s="26">
        <v>0.22916666666666666</v>
      </c>
      <c r="D1586" s="26">
        <v>0.3298611111111111</v>
      </c>
      <c r="E1586" s="26">
        <v>0.4201388888888889</v>
      </c>
      <c r="F1586" s="26">
        <f>E1586+'Lookup Tables'!$N$1</f>
        <v>0.44097222222222221</v>
      </c>
      <c r="G1586" s="26">
        <f>F1586+'Lookup Tables'!$N$1</f>
        <v>0.46180555555555552</v>
      </c>
      <c r="H1586" s="26">
        <f>G1586+'Lookup Tables'!$N$1</f>
        <v>0.48263888888888884</v>
      </c>
      <c r="I1586" s="26">
        <f>H1586+'Lookup Tables'!$M$1</f>
        <v>0.49305555555555552</v>
      </c>
      <c r="J1586" s="26">
        <f>I1586+'Lookup Tables'!$M$1</f>
        <v>0.50347222222222221</v>
      </c>
      <c r="N1586">
        <f>MAX(F1583:M1583)-O1586</f>
        <v>34</v>
      </c>
      <c r="O1586" t="str">
        <f>RIGHT(E1583,3)</f>
        <v>374</v>
      </c>
    </row>
    <row r="1587" spans="1:16" ht="15.75" customHeight="1" x14ac:dyDescent="0.35">
      <c r="B1587" s="20" t="s">
        <v>251</v>
      </c>
      <c r="C1587" s="27">
        <v>0.2</v>
      </c>
      <c r="D1587" s="27">
        <v>0.5</v>
      </c>
      <c r="E1587" s="27"/>
      <c r="F1587" s="27"/>
      <c r="G1587" s="27" t="s">
        <v>274</v>
      </c>
      <c r="H1587" s="27"/>
      <c r="I1587" s="27"/>
      <c r="J1587" s="27"/>
      <c r="N1587" t="str">
        <f xml:space="preserve">  N1586 &amp; " degrees this time"</f>
        <v>34 degrees this time</v>
      </c>
    </row>
    <row r="1588" spans="1:16" ht="15.75" customHeight="1" x14ac:dyDescent="0.35">
      <c r="B1588" s="20" t="s">
        <v>252</v>
      </c>
      <c r="C1588" s="27">
        <v>0.9</v>
      </c>
      <c r="D1588" s="27">
        <v>0.8</v>
      </c>
      <c r="E1588" s="27">
        <v>0.7</v>
      </c>
      <c r="F1588" s="27">
        <v>0.4</v>
      </c>
      <c r="G1588" s="27" t="s">
        <v>274</v>
      </c>
      <c r="H1588" s="27"/>
      <c r="I1588" s="27"/>
      <c r="J1588" s="27" t="s">
        <v>275</v>
      </c>
    </row>
    <row r="1589" spans="1:16" ht="15.75" customHeight="1" x14ac:dyDescent="0.35">
      <c r="B1589" s="20"/>
      <c r="D1589" s="11"/>
      <c r="E1589" s="11"/>
      <c r="F1589" s="11"/>
      <c r="G1589" s="13"/>
      <c r="H1589" s="13"/>
      <c r="I1589" s="13"/>
      <c r="J1589" s="37"/>
      <c r="L1589" s="35"/>
    </row>
    <row r="1590" spans="1:16" ht="15.75" customHeight="1" x14ac:dyDescent="0.35">
      <c r="G1590" s="1" t="s">
        <v>366</v>
      </c>
      <c r="H1590" s="1"/>
      <c r="K1590" s="9" t="s">
        <v>367</v>
      </c>
      <c r="L1590" s="9"/>
      <c r="M1590" s="9"/>
    </row>
    <row r="1591" spans="1:16" ht="15.75" customHeight="1" x14ac:dyDescent="0.35">
      <c r="B1591" s="20"/>
      <c r="G1591" s="1"/>
      <c r="H1591" s="1"/>
      <c r="K1591" s="32" t="s">
        <v>368</v>
      </c>
      <c r="L1591" s="9"/>
      <c r="M1591" s="9"/>
    </row>
    <row r="1592" spans="1:16" ht="15.75" customHeight="1" x14ac:dyDescent="0.35">
      <c r="B1592" s="20"/>
      <c r="G1592" s="1"/>
      <c r="H1592" s="1"/>
      <c r="K1592" s="9" t="s">
        <v>254</v>
      </c>
      <c r="L1592" s="9"/>
      <c r="M1592" s="9"/>
    </row>
    <row r="1593" spans="1:16" ht="15.75" customHeight="1" x14ac:dyDescent="0.35">
      <c r="B1593" s="9"/>
      <c r="C1593" s="9"/>
      <c r="D1593" s="9"/>
      <c r="E1593" s="9"/>
      <c r="F1593" s="12"/>
      <c r="G1593" s="12"/>
      <c r="H1593" s="12"/>
      <c r="I1593" s="12"/>
      <c r="J1593" s="12"/>
      <c r="K1593" s="12"/>
      <c r="L1593" s="1"/>
    </row>
    <row r="1594" spans="1:16" ht="15.75" customHeight="1" x14ac:dyDescent="0.35">
      <c r="B1594" s="13"/>
      <c r="C1594" s="13"/>
      <c r="D1594" s="13"/>
      <c r="E1594" s="13"/>
      <c r="F1594" s="33" t="s">
        <v>381</v>
      </c>
      <c r="G1594" s="13"/>
      <c r="H1594" s="13"/>
      <c r="I1594" s="13"/>
    </row>
    <row r="1595" spans="1:16" x14ac:dyDescent="0.35">
      <c r="B1595" s="13" t="s">
        <v>5</v>
      </c>
      <c r="C1595" s="13" t="s">
        <v>1</v>
      </c>
      <c r="D1595" s="15" t="str">
        <f>VLOOKUP(A1596,Inventory!$A$4:$K$1139,7)</f>
        <v>Coffee Bean corral</v>
      </c>
      <c r="F1595" s="13" t="s">
        <v>235</v>
      </c>
      <c r="G1595" s="16"/>
      <c r="L1595" s="17"/>
      <c r="M1595" s="17"/>
    </row>
    <row r="1596" spans="1:16" x14ac:dyDescent="0.35">
      <c r="A1596">
        <v>152</v>
      </c>
      <c r="B1596" s="5">
        <v>44848</v>
      </c>
      <c r="C1596" s="15" t="str">
        <f>VLOOKUP(A1596,Inventory!$A$4:$K$1139,2)</f>
        <v>Nicaragua Organic Jinotega Finca La Isabelia 2018</v>
      </c>
      <c r="E1596" s="11"/>
      <c r="F1596" s="34" t="s">
        <v>279</v>
      </c>
      <c r="G1596" s="2" t="s">
        <v>286</v>
      </c>
      <c r="L1596" s="17"/>
      <c r="M1596" s="17"/>
      <c r="P1596" s="8"/>
    </row>
    <row r="1597" spans="1:16" x14ac:dyDescent="0.35">
      <c r="D1597" s="11"/>
      <c r="E1597" s="11"/>
      <c r="G1597" s="16"/>
      <c r="L1597" s="19"/>
      <c r="M1597" s="19"/>
    </row>
    <row r="1598" spans="1:16" x14ac:dyDescent="0.35">
      <c r="B1598" s="20"/>
      <c r="C1598" s="11" t="s">
        <v>240</v>
      </c>
      <c r="D1598" s="11" t="s">
        <v>395</v>
      </c>
      <c r="E1598" s="11">
        <v>372</v>
      </c>
      <c r="F1598" s="11">
        <v>380</v>
      </c>
      <c r="G1598" s="11">
        <v>388</v>
      </c>
      <c r="H1598" s="11">
        <v>393</v>
      </c>
      <c r="I1598" s="11"/>
      <c r="J1598" s="11"/>
      <c r="K1598" s="28"/>
      <c r="L1598" s="28"/>
    </row>
    <row r="1599" spans="1:16" ht="15.75" customHeight="1" x14ac:dyDescent="0.35">
      <c r="B1599" s="20" t="s">
        <v>242</v>
      </c>
      <c r="C1599" s="21"/>
      <c r="D1599" s="22" t="s">
        <v>294</v>
      </c>
      <c r="E1599" s="23" t="s">
        <v>244</v>
      </c>
      <c r="F1599" s="23" t="s">
        <v>245</v>
      </c>
      <c r="G1599" s="23" t="s">
        <v>246</v>
      </c>
      <c r="H1599" s="23" t="s">
        <v>247</v>
      </c>
      <c r="O1599" s="4"/>
    </row>
    <row r="1600" spans="1:16" ht="1" customHeight="1" x14ac:dyDescent="0.35">
      <c r="B1600" s="24" t="s">
        <v>249</v>
      </c>
      <c r="C1600" s="25"/>
      <c r="D1600" s="25"/>
      <c r="E1600" s="25"/>
      <c r="F1600" s="25"/>
      <c r="G1600" s="25"/>
      <c r="H1600" s="25"/>
      <c r="O1600" t="e">
        <f>(O1598-3*O1597)/O1599</f>
        <v>#DIV/0!</v>
      </c>
    </row>
    <row r="1601" spans="1:16" ht="15.75" customHeight="1" x14ac:dyDescent="0.35">
      <c r="B1601" s="20" t="s">
        <v>250</v>
      </c>
      <c r="C1601" s="26">
        <v>0.20486111111111113</v>
      </c>
      <c r="D1601" s="26">
        <v>0.27083333333333331</v>
      </c>
      <c r="E1601" s="26">
        <v>0.375</v>
      </c>
      <c r="F1601" s="26">
        <f>E1601+'Lookup Tables'!$N$1</f>
        <v>0.39583333333333331</v>
      </c>
      <c r="G1601" s="26">
        <f>F1601+'Lookup Tables'!$N$1</f>
        <v>0.41666666666666663</v>
      </c>
      <c r="H1601" s="26">
        <f>G1601+'Lookup Tables'!$N$1</f>
        <v>0.43749999999999994</v>
      </c>
      <c r="I1601" s="11"/>
      <c r="J1601" s="11"/>
      <c r="K1601" s="11"/>
      <c r="N1601">
        <f>MAX(F1598:M1598)-O1601</f>
        <v>21</v>
      </c>
      <c r="O1601" t="str">
        <f>RIGHT(E1598,3)</f>
        <v>372</v>
      </c>
    </row>
    <row r="1602" spans="1:16" ht="15.75" customHeight="1" x14ac:dyDescent="0.35">
      <c r="B1602" s="20" t="s">
        <v>251</v>
      </c>
      <c r="C1602" s="27">
        <v>0.2</v>
      </c>
      <c r="D1602" s="27">
        <v>0.5</v>
      </c>
      <c r="E1602" s="27"/>
      <c r="F1602" s="27"/>
      <c r="G1602" s="27" t="s">
        <v>274</v>
      </c>
      <c r="H1602" s="27"/>
      <c r="N1602" t="str">
        <f xml:space="preserve">  N1601 &amp; " degrees this time"</f>
        <v>21 degrees this time</v>
      </c>
    </row>
    <row r="1603" spans="1:16" ht="15.75" customHeight="1" x14ac:dyDescent="0.35">
      <c r="B1603" s="20" t="s">
        <v>252</v>
      </c>
      <c r="C1603" s="27">
        <v>0.9</v>
      </c>
      <c r="D1603" s="27">
        <v>0.7</v>
      </c>
      <c r="E1603" s="27">
        <v>0.6</v>
      </c>
      <c r="F1603" s="27"/>
      <c r="G1603" s="27"/>
      <c r="H1603" s="27" t="s">
        <v>275</v>
      </c>
    </row>
    <row r="1604" spans="1:16" ht="15.75" customHeight="1" x14ac:dyDescent="0.35">
      <c r="B1604" s="20"/>
      <c r="D1604" s="11"/>
      <c r="E1604" s="11"/>
      <c r="F1604" s="11"/>
      <c r="H1604" s="55"/>
    </row>
    <row r="1605" spans="1:16" ht="15.75" customHeight="1" x14ac:dyDescent="0.35">
      <c r="B1605" s="20"/>
      <c r="G1605" s="1" t="s">
        <v>396</v>
      </c>
      <c r="K1605" s="32" t="s">
        <v>345</v>
      </c>
      <c r="L1605" s="9"/>
      <c r="M1605" s="9"/>
    </row>
    <row r="1606" spans="1:16" ht="15.75" customHeight="1" x14ac:dyDescent="0.35">
      <c r="B1606" s="30" t="s">
        <v>397</v>
      </c>
      <c r="G1606" s="1"/>
      <c r="H1606" s="1"/>
      <c r="K1606" s="32"/>
      <c r="L1606" s="9"/>
      <c r="M1606" s="9"/>
    </row>
    <row r="1607" spans="1:16" ht="15.75" customHeight="1" x14ac:dyDescent="0.35">
      <c r="B1607" s="30"/>
      <c r="G1607" s="1"/>
      <c r="H1607" s="1"/>
      <c r="K1607" s="32" t="s">
        <v>254</v>
      </c>
      <c r="L1607" s="9"/>
      <c r="M1607" s="9"/>
    </row>
    <row r="1608" spans="1:16" ht="15.75" customHeight="1" x14ac:dyDescent="0.35">
      <c r="B1608" s="9"/>
      <c r="C1608" s="9"/>
      <c r="D1608" s="9"/>
      <c r="E1608" s="9"/>
      <c r="F1608" s="12"/>
      <c r="G1608" s="12"/>
      <c r="H1608" s="12"/>
      <c r="I1608" s="12"/>
      <c r="J1608" s="12"/>
      <c r="K1608" s="12"/>
      <c r="L1608" s="1"/>
    </row>
    <row r="1609" spans="1:16" ht="15.75" customHeight="1" x14ac:dyDescent="0.35">
      <c r="B1609" s="13"/>
      <c r="C1609" s="13"/>
      <c r="D1609" s="13"/>
      <c r="E1609" s="13"/>
      <c r="F1609" s="33" t="s">
        <v>305</v>
      </c>
      <c r="G1609" s="13"/>
      <c r="H1609" s="14" t="s">
        <v>255</v>
      </c>
      <c r="I1609" s="13"/>
    </row>
    <row r="1610" spans="1:16" x14ac:dyDescent="0.35">
      <c r="B1610" s="13" t="s">
        <v>5</v>
      </c>
      <c r="C1610" s="13" t="s">
        <v>1</v>
      </c>
      <c r="D1610" s="15" t="str">
        <f>VLOOKUP(A1611,Inventory!$A$4:$K$1139,7)</f>
        <v xml:space="preserve">Klatch                             </v>
      </c>
      <c r="F1610" s="13" t="s">
        <v>235</v>
      </c>
      <c r="G1610" s="16"/>
      <c r="L1610" s="17"/>
      <c r="M1610" s="17"/>
    </row>
    <row r="1611" spans="1:16" x14ac:dyDescent="0.35">
      <c r="A1611">
        <v>166</v>
      </c>
      <c r="B1611" s="5">
        <v>44848</v>
      </c>
      <c r="C1611" s="15" t="str">
        <f>VLOOKUP(A1611,Inventory!$A$4:$K$1139,2)</f>
        <v>Panama Elida Natural 2020</v>
      </c>
      <c r="F1611" s="31" t="s">
        <v>291</v>
      </c>
      <c r="G1611" s="2" t="s">
        <v>270</v>
      </c>
      <c r="L1611" s="17"/>
      <c r="M1611" s="17"/>
      <c r="P1611" s="8"/>
    </row>
    <row r="1612" spans="1:16" x14ac:dyDescent="0.35">
      <c r="F1612" s="13"/>
      <c r="G1612" s="16"/>
      <c r="L1612" s="19"/>
      <c r="M1612" s="19"/>
    </row>
    <row r="1613" spans="1:16" x14ac:dyDescent="0.35">
      <c r="B1613" s="20"/>
      <c r="C1613" s="11" t="s">
        <v>240</v>
      </c>
      <c r="D1613" s="11" t="s">
        <v>272</v>
      </c>
      <c r="E1613" s="11">
        <v>366</v>
      </c>
      <c r="F1613" s="11">
        <v>374</v>
      </c>
      <c r="G1613" s="11">
        <v>381</v>
      </c>
      <c r="H1613" s="11">
        <v>383</v>
      </c>
      <c r="I1613" s="11" t="s">
        <v>310</v>
      </c>
      <c r="J1613" s="11"/>
      <c r="K1613" s="28"/>
      <c r="L1613" s="28"/>
    </row>
    <row r="1614" spans="1:16" ht="15.75" customHeight="1" x14ac:dyDescent="0.35">
      <c r="B1614" s="20" t="s">
        <v>242</v>
      </c>
      <c r="C1614" s="30"/>
      <c r="D1614" s="30"/>
      <c r="E1614" s="23" t="s">
        <v>244</v>
      </c>
      <c r="F1614" s="23" t="s">
        <v>245</v>
      </c>
      <c r="G1614" s="23" t="s">
        <v>246</v>
      </c>
      <c r="H1614" s="23" t="s">
        <v>273</v>
      </c>
      <c r="O1614" s="4"/>
    </row>
    <row r="1615" spans="1:16" ht="1" customHeight="1" x14ac:dyDescent="0.35">
      <c r="B1615" s="24" t="s">
        <v>249</v>
      </c>
      <c r="C1615" s="25"/>
      <c r="D1615" s="25"/>
      <c r="E1615" s="25"/>
      <c r="F1615" s="25"/>
      <c r="G1615" s="25"/>
      <c r="H1615" s="25"/>
      <c r="O1615" t="e">
        <f>(O1613-3*O1612)/O1614</f>
        <v>#DIV/0!</v>
      </c>
    </row>
    <row r="1616" spans="1:16" ht="15.75" customHeight="1" x14ac:dyDescent="0.35">
      <c r="B1616" s="20" t="s">
        <v>250</v>
      </c>
      <c r="C1616" s="26">
        <v>0.20833333333333334</v>
      </c>
      <c r="D1616" s="26">
        <v>0.30208333333333331</v>
      </c>
      <c r="E1616" s="26">
        <v>0.375</v>
      </c>
      <c r="F1616" s="26">
        <f>E1616+'Lookup Tables'!$N$1</f>
        <v>0.39583333333333331</v>
      </c>
      <c r="G1616" s="26">
        <f>F1616+'Lookup Tables'!$N$1</f>
        <v>0.41666666666666663</v>
      </c>
      <c r="H1616" s="26">
        <f>G1616+'Lookup Tables'!$S$1</f>
        <v>0.42708333333333331</v>
      </c>
      <c r="N1616">
        <f>MAX(F1613:M1613)-O1616</f>
        <v>17</v>
      </c>
      <c r="O1616" t="str">
        <f>RIGHT(E1613,3)</f>
        <v>366</v>
      </c>
    </row>
    <row r="1617" spans="1:16" ht="15.75" customHeight="1" x14ac:dyDescent="0.35">
      <c r="B1617" s="20" t="s">
        <v>251</v>
      </c>
      <c r="C1617" s="27">
        <v>0.2</v>
      </c>
      <c r="D1617" s="27">
        <v>0.5</v>
      </c>
      <c r="E1617" s="27">
        <v>0.5</v>
      </c>
      <c r="F1617" s="27" t="s">
        <v>274</v>
      </c>
      <c r="G1617" s="27"/>
      <c r="H1617" s="25"/>
      <c r="N1617" t="str">
        <f xml:space="preserve">  N1616 &amp; " degrees this time"</f>
        <v>17 degrees this time</v>
      </c>
    </row>
    <row r="1618" spans="1:16" ht="15.75" customHeight="1" x14ac:dyDescent="0.35">
      <c r="B1618" s="20" t="s">
        <v>252</v>
      </c>
      <c r="C1618" s="27">
        <v>0.9</v>
      </c>
      <c r="D1618" s="27">
        <v>0.7</v>
      </c>
      <c r="E1618" s="27">
        <v>0.6</v>
      </c>
      <c r="F1618" s="27" t="s">
        <v>274</v>
      </c>
      <c r="G1618" s="27"/>
      <c r="H1618" s="27" t="s">
        <v>275</v>
      </c>
    </row>
    <row r="1619" spans="1:16" ht="15.75" customHeight="1" x14ac:dyDescent="0.35">
      <c r="B1619" s="20"/>
      <c r="D1619" s="11"/>
      <c r="E1619" s="11"/>
      <c r="F1619" s="11"/>
    </row>
    <row r="1620" spans="1:16" ht="15.75" customHeight="1" x14ac:dyDescent="0.35">
      <c r="B1620" s="20"/>
      <c r="C1620" s="30"/>
      <c r="D1620" s="11"/>
      <c r="E1620" s="11"/>
      <c r="F1620" s="11"/>
      <c r="G1620" s="1" t="s">
        <v>276</v>
      </c>
      <c r="K1620" s="32" t="s">
        <v>378</v>
      </c>
      <c r="L1620" s="9"/>
      <c r="M1620" s="9"/>
    </row>
    <row r="1621" spans="1:16" ht="15.75" customHeight="1" x14ac:dyDescent="0.35">
      <c r="B1621" s="20"/>
      <c r="G1621" s="1"/>
      <c r="H1621" s="1"/>
      <c r="K1621" s="9"/>
      <c r="L1621" s="9"/>
      <c r="M1621" s="9"/>
    </row>
    <row r="1622" spans="1:16" ht="15.75" customHeight="1" x14ac:dyDescent="0.35">
      <c r="B1622" s="20"/>
      <c r="G1622" s="1"/>
      <c r="H1622" s="1"/>
      <c r="K1622" s="32" t="s">
        <v>277</v>
      </c>
      <c r="L1622" s="9"/>
      <c r="M1622" s="9"/>
    </row>
    <row r="1623" spans="1:16" ht="15.75" customHeight="1" x14ac:dyDescent="0.35">
      <c r="B1623" s="9"/>
      <c r="C1623" s="9"/>
      <c r="D1623" s="9"/>
      <c r="E1623" s="9"/>
      <c r="F1623" s="12"/>
      <c r="G1623" s="12"/>
      <c r="H1623" s="12"/>
      <c r="I1623" s="12"/>
      <c r="J1623" s="12"/>
      <c r="K1623" s="12"/>
      <c r="L1623" s="1"/>
    </row>
    <row r="1624" spans="1:16" ht="15.75" customHeight="1" x14ac:dyDescent="0.35">
      <c r="B1624" s="13"/>
      <c r="C1624" s="13"/>
      <c r="D1624" s="15"/>
      <c r="G1624" s="16"/>
      <c r="H1624" s="14" t="s">
        <v>255</v>
      </c>
    </row>
    <row r="1625" spans="1:16" x14ac:dyDescent="0.35">
      <c r="B1625" s="13" t="s">
        <v>5</v>
      </c>
      <c r="C1625" s="13" t="s">
        <v>1</v>
      </c>
      <c r="D1625" s="15" t="str">
        <f>VLOOKUP(A1626,Inventory!$A$4:$K$1139,7)</f>
        <v>Leverhead Coffee</v>
      </c>
      <c r="F1625" s="13" t="s">
        <v>235</v>
      </c>
      <c r="G1625" s="16"/>
      <c r="H1625" s="14" t="s">
        <v>379</v>
      </c>
      <c r="L1625" s="17"/>
      <c r="M1625" s="17"/>
    </row>
    <row r="1626" spans="1:16" x14ac:dyDescent="0.35">
      <c r="A1626">
        <v>159</v>
      </c>
      <c r="B1626" s="5">
        <v>44848</v>
      </c>
      <c r="C1626" s="15" t="str">
        <f>VLOOKUP(A1626,Inventory!$A$4:$K$1139,2)</f>
        <v>Rwanda Abakundakawa 2020</v>
      </c>
      <c r="F1626" s="31" t="s">
        <v>291</v>
      </c>
      <c r="G1626" s="2" t="s">
        <v>270</v>
      </c>
      <c r="L1626" s="17"/>
      <c r="M1626" s="17"/>
      <c r="P1626" s="8"/>
    </row>
    <row r="1627" spans="1:16" x14ac:dyDescent="0.35">
      <c r="L1627" s="19"/>
      <c r="M1627" s="19"/>
    </row>
    <row r="1628" spans="1:16" x14ac:dyDescent="0.35">
      <c r="B1628" s="20"/>
      <c r="C1628" s="11" t="s">
        <v>240</v>
      </c>
      <c r="D1628" s="11" t="s">
        <v>241</v>
      </c>
      <c r="E1628" s="11">
        <v>364</v>
      </c>
      <c r="F1628" s="11">
        <v>373</v>
      </c>
      <c r="G1628" s="11">
        <v>379</v>
      </c>
      <c r="H1628" s="11">
        <v>388</v>
      </c>
      <c r="I1628" s="11">
        <v>391</v>
      </c>
      <c r="J1628" s="11">
        <v>394</v>
      </c>
      <c r="K1628" s="28"/>
      <c r="L1628" s="28"/>
    </row>
    <row r="1629" spans="1:16" ht="15.75" customHeight="1" x14ac:dyDescent="0.35">
      <c r="A1629" t="s">
        <v>16</v>
      </c>
      <c r="B1629" s="20" t="s">
        <v>242</v>
      </c>
      <c r="C1629" s="30"/>
      <c r="D1629" s="30"/>
      <c r="E1629" s="23" t="s">
        <v>244</v>
      </c>
      <c r="F1629" s="23" t="s">
        <v>245</v>
      </c>
      <c r="G1629" s="23" t="s">
        <v>246</v>
      </c>
      <c r="H1629" s="23" t="s">
        <v>247</v>
      </c>
      <c r="I1629" s="23" t="s">
        <v>248</v>
      </c>
      <c r="J1629" s="23" t="s">
        <v>259</v>
      </c>
      <c r="O1629" s="4"/>
    </row>
    <row r="1630" spans="1:16" ht="1" customHeight="1" x14ac:dyDescent="0.35">
      <c r="B1630" s="24" t="s">
        <v>249</v>
      </c>
      <c r="C1630" s="25"/>
      <c r="D1630" s="25"/>
      <c r="E1630" s="25">
        <v>388</v>
      </c>
      <c r="F1630" s="25">
        <v>393</v>
      </c>
      <c r="G1630" s="25">
        <v>397</v>
      </c>
      <c r="H1630" s="25">
        <v>401</v>
      </c>
      <c r="I1630" s="25"/>
      <c r="J1630" s="25"/>
      <c r="K1630" t="s">
        <v>280</v>
      </c>
      <c r="O1630" t="e">
        <f>(O1628-3*O1627)/O1629</f>
        <v>#DIV/0!</v>
      </c>
    </row>
    <row r="1631" spans="1:16" ht="15.75" customHeight="1" x14ac:dyDescent="0.35">
      <c r="B1631" s="20" t="s">
        <v>250</v>
      </c>
      <c r="C1631" s="26">
        <v>0.20486111111111113</v>
      </c>
      <c r="D1631" s="26">
        <v>0.28819444444444448</v>
      </c>
      <c r="E1631" s="26">
        <v>0.36805555555555558</v>
      </c>
      <c r="F1631" s="26">
        <f>E1631+'Lookup Tables'!$N$1</f>
        <v>0.3888888888888889</v>
      </c>
      <c r="G1631" s="26">
        <f>F1631+'Lookup Tables'!$N$1</f>
        <v>0.40972222222222221</v>
      </c>
      <c r="H1631" s="26">
        <f>G1631+'Lookup Tables'!$N$1</f>
        <v>0.43055555555555552</v>
      </c>
      <c r="I1631" s="26">
        <f>H1631+'Lookup Tables'!$S$1</f>
        <v>0.44097222222222221</v>
      </c>
      <c r="J1631" s="26">
        <f>I1631+'Lookup Tables'!$S$1</f>
        <v>0.4513888888888889</v>
      </c>
      <c r="N1631">
        <f>MAX(F1628:M1628)-O1631</f>
        <v>30</v>
      </c>
      <c r="O1631" t="str">
        <f>RIGHT(E1628,3)</f>
        <v>364</v>
      </c>
    </row>
    <row r="1632" spans="1:16" ht="15.75" customHeight="1" x14ac:dyDescent="0.35">
      <c r="B1632" s="20" t="s">
        <v>251</v>
      </c>
      <c r="C1632" s="27">
        <v>0.2</v>
      </c>
      <c r="D1632" s="27">
        <v>0.5</v>
      </c>
      <c r="E1632" s="27"/>
      <c r="F1632" s="27"/>
      <c r="G1632" s="27"/>
      <c r="H1632" s="27" t="s">
        <v>274</v>
      </c>
      <c r="I1632" s="27"/>
      <c r="J1632" s="27"/>
      <c r="N1632" t="str">
        <f xml:space="preserve">  N1631 &amp; " degrees this time"</f>
        <v>30 degrees this time</v>
      </c>
    </row>
    <row r="1633" spans="1:16" ht="15.75" customHeight="1" x14ac:dyDescent="0.35">
      <c r="B1633" s="20" t="s">
        <v>252</v>
      </c>
      <c r="C1633" s="27">
        <v>0.9</v>
      </c>
      <c r="D1633" s="27">
        <v>0.8</v>
      </c>
      <c r="E1633" s="27">
        <v>0.6</v>
      </c>
      <c r="F1633" s="27">
        <v>0.5</v>
      </c>
      <c r="G1633" s="27">
        <v>0.3</v>
      </c>
      <c r="H1633" s="27" t="s">
        <v>274</v>
      </c>
      <c r="I1633" s="27" t="s">
        <v>275</v>
      </c>
      <c r="J1633" s="27" t="s">
        <v>275</v>
      </c>
    </row>
    <row r="1634" spans="1:16" ht="15.75" customHeight="1" x14ac:dyDescent="0.35">
      <c r="B1634" s="20"/>
      <c r="C1634" s="30"/>
      <c r="D1634" s="11"/>
      <c r="E1634" s="11"/>
      <c r="F1634" s="11"/>
      <c r="H1634" s="1"/>
      <c r="J1634" s="35"/>
    </row>
    <row r="1635" spans="1:16" ht="15.75" customHeight="1" x14ac:dyDescent="0.35">
      <c r="G1635" s="1" t="s">
        <v>342</v>
      </c>
      <c r="K1635" s="32" t="s">
        <v>343</v>
      </c>
      <c r="L1635" s="9"/>
      <c r="M1635" s="9"/>
    </row>
    <row r="1636" spans="1:16" ht="15.75" customHeight="1" x14ac:dyDescent="0.35">
      <c r="B1636" s="20"/>
      <c r="G1636" s="1"/>
      <c r="H1636" s="1"/>
      <c r="K1636" s="32"/>
      <c r="L1636" s="9"/>
      <c r="M1636" s="9"/>
    </row>
    <row r="1637" spans="1:16" ht="15.75" customHeight="1" x14ac:dyDescent="0.35">
      <c r="B1637" s="20"/>
      <c r="G1637" s="1"/>
      <c r="H1637" s="1"/>
      <c r="K1637" s="32" t="s">
        <v>254</v>
      </c>
      <c r="L1637" s="9"/>
      <c r="M1637" s="9"/>
    </row>
    <row r="1638" spans="1:16" ht="15.75" customHeight="1" x14ac:dyDescent="0.35">
      <c r="B1638" s="9"/>
      <c r="C1638" s="9"/>
      <c r="D1638" s="9"/>
      <c r="E1638" s="9"/>
      <c r="F1638" s="12"/>
      <c r="G1638" s="12"/>
      <c r="H1638" s="12"/>
      <c r="I1638" s="12"/>
      <c r="J1638" s="12"/>
      <c r="K1638" s="12"/>
      <c r="L1638" s="1"/>
    </row>
    <row r="1639" spans="1:16" ht="15.75" customHeight="1" x14ac:dyDescent="0.35">
      <c r="B1639" s="13"/>
      <c r="C1639" s="13"/>
      <c r="D1639" s="13"/>
      <c r="E1639" s="13"/>
      <c r="F1639" s="13"/>
      <c r="G1639" s="13"/>
      <c r="I1639" s="14"/>
    </row>
    <row r="1640" spans="1:16" x14ac:dyDescent="0.35">
      <c r="B1640" s="13" t="s">
        <v>5</v>
      </c>
      <c r="C1640" s="13" t="s">
        <v>1</v>
      </c>
      <c r="D1640" s="15" t="str">
        <f>VLOOKUP(A1641,Inventory!$A$4:$K$1139,7)</f>
        <v xml:space="preserve">Klatch                             </v>
      </c>
      <c r="F1640" s="13" t="s">
        <v>235</v>
      </c>
      <c r="G1640" s="16"/>
      <c r="L1640" s="17"/>
      <c r="M1640" s="17"/>
    </row>
    <row r="1641" spans="1:16" x14ac:dyDescent="0.35">
      <c r="A1641">
        <v>162</v>
      </c>
      <c r="B1641" s="5">
        <v>44848</v>
      </c>
      <c r="C1641" s="15" t="str">
        <f>VLOOKUP(A1641,Inventory!$A$4:$K$1139,2)</f>
        <v>El Salvador Las Mercedes Caturra 2020</v>
      </c>
      <c r="F1641" s="34" t="s">
        <v>279</v>
      </c>
      <c r="G1641" s="2" t="s">
        <v>270</v>
      </c>
      <c r="L1641" s="17"/>
      <c r="M1641" s="17"/>
      <c r="P1641" s="8"/>
    </row>
    <row r="1642" spans="1:16" x14ac:dyDescent="0.35">
      <c r="L1642" s="19"/>
      <c r="M1642" s="19"/>
    </row>
    <row r="1643" spans="1:16" x14ac:dyDescent="0.35">
      <c r="B1643" s="20"/>
      <c r="C1643" s="11" t="s">
        <v>240</v>
      </c>
      <c r="D1643" s="11" t="s">
        <v>272</v>
      </c>
      <c r="E1643" s="11">
        <v>363</v>
      </c>
      <c r="F1643" s="11">
        <v>371</v>
      </c>
      <c r="G1643" s="11">
        <v>379</v>
      </c>
      <c r="H1643" s="11">
        <v>390</v>
      </c>
      <c r="I1643" s="28" t="s">
        <v>398</v>
      </c>
      <c r="J1643" s="11"/>
      <c r="K1643" s="28"/>
      <c r="L1643" s="28"/>
    </row>
    <row r="1644" spans="1:16" ht="15.75" customHeight="1" x14ac:dyDescent="0.35">
      <c r="B1644" s="20" t="s">
        <v>242</v>
      </c>
      <c r="C1644" s="21"/>
      <c r="D1644" s="22" t="s">
        <v>294</v>
      </c>
      <c r="E1644" s="23" t="s">
        <v>244</v>
      </c>
      <c r="F1644" s="23" t="s">
        <v>245</v>
      </c>
      <c r="G1644" s="23" t="s">
        <v>246</v>
      </c>
      <c r="H1644" s="23" t="s">
        <v>247</v>
      </c>
      <c r="O1644" s="4"/>
    </row>
    <row r="1645" spans="1:16" ht="1" customHeight="1" x14ac:dyDescent="0.35">
      <c r="B1645" s="24" t="s">
        <v>249</v>
      </c>
      <c r="C1645" s="25"/>
      <c r="D1645" s="25"/>
      <c r="E1645" s="25">
        <v>384</v>
      </c>
      <c r="F1645" s="25">
        <v>392</v>
      </c>
      <c r="G1645" s="25">
        <v>395</v>
      </c>
      <c r="H1645" s="25"/>
      <c r="O1645" t="e">
        <f>(O1643-3*O1642)/O1644</f>
        <v>#DIV/0!</v>
      </c>
    </row>
    <row r="1646" spans="1:16" ht="15.75" customHeight="1" x14ac:dyDescent="0.35">
      <c r="B1646" s="20" t="s">
        <v>250</v>
      </c>
      <c r="C1646" s="26">
        <v>0.22569444444444445</v>
      </c>
      <c r="D1646" s="26">
        <v>0.3125</v>
      </c>
      <c r="E1646" s="26">
        <v>0.375</v>
      </c>
      <c r="F1646" s="26">
        <f>E1646+'Lookup Tables'!$N$1</f>
        <v>0.39583333333333331</v>
      </c>
      <c r="G1646" s="26">
        <f>F1646+'Lookup Tables'!$N$1</f>
        <v>0.41666666666666663</v>
      </c>
      <c r="H1646" s="26">
        <f>G1646+'Lookup Tables'!$N$1</f>
        <v>0.43749999999999994</v>
      </c>
      <c r="N1646">
        <f>MAX(F1643:M1643)-O1646</f>
        <v>27</v>
      </c>
      <c r="O1646" t="str">
        <f>RIGHT(E1643,3)</f>
        <v>363</v>
      </c>
    </row>
    <row r="1647" spans="1:16" ht="15.75" customHeight="1" x14ac:dyDescent="0.35">
      <c r="B1647" s="20" t="s">
        <v>251</v>
      </c>
      <c r="C1647" s="27">
        <v>0.2</v>
      </c>
      <c r="D1647" s="27">
        <v>0.5</v>
      </c>
      <c r="E1647" s="27"/>
      <c r="F1647" s="27" t="s">
        <v>274</v>
      </c>
      <c r="G1647" s="27"/>
      <c r="H1647" s="27"/>
      <c r="N1647" t="str">
        <f xml:space="preserve">  N1646 &amp; " degrees this time"</f>
        <v>27 degrees this time</v>
      </c>
    </row>
    <row r="1648" spans="1:16" ht="15.75" customHeight="1" x14ac:dyDescent="0.35">
      <c r="B1648" s="20" t="s">
        <v>252</v>
      </c>
      <c r="C1648" s="27">
        <v>0.9</v>
      </c>
      <c r="D1648" s="27">
        <v>0.8</v>
      </c>
      <c r="E1648" s="27">
        <v>0.5</v>
      </c>
      <c r="F1648" s="27" t="s">
        <v>274</v>
      </c>
      <c r="G1648" s="27"/>
      <c r="H1648" s="27" t="s">
        <v>275</v>
      </c>
    </row>
    <row r="1649" spans="1:16" ht="15.75" customHeight="1" x14ac:dyDescent="0.35">
      <c r="B1649" s="20"/>
      <c r="C1649" s="30"/>
      <c r="H1649" s="13"/>
      <c r="I1649" s="13"/>
      <c r="J1649" s="35"/>
    </row>
    <row r="1650" spans="1:16" ht="15.75" customHeight="1" x14ac:dyDescent="0.35">
      <c r="C1650" s="30"/>
      <c r="G1650" s="1" t="s">
        <v>344</v>
      </c>
      <c r="K1650" s="32" t="s">
        <v>345</v>
      </c>
      <c r="L1650" s="9"/>
      <c r="M1650" s="9"/>
    </row>
    <row r="1651" spans="1:16" ht="15.75" customHeight="1" x14ac:dyDescent="0.35">
      <c r="B1651" s="20"/>
      <c r="G1651" s="1"/>
      <c r="H1651" s="1"/>
      <c r="K1651" s="32"/>
      <c r="L1651" s="9"/>
      <c r="M1651" s="9"/>
    </row>
    <row r="1652" spans="1:16" ht="15.75" customHeight="1" x14ac:dyDescent="0.35">
      <c r="B1652" s="20"/>
      <c r="G1652" s="1"/>
      <c r="H1652" s="1"/>
      <c r="K1652" s="32" t="s">
        <v>277</v>
      </c>
      <c r="L1652" s="9"/>
      <c r="M1652" s="9"/>
    </row>
    <row r="1653" spans="1:16" ht="15.75" customHeight="1" x14ac:dyDescent="0.35">
      <c r="B1653" s="9"/>
      <c r="C1653" s="9"/>
      <c r="D1653" s="9"/>
      <c r="E1653" s="9"/>
      <c r="F1653" s="12"/>
      <c r="G1653" s="12"/>
      <c r="H1653" s="12"/>
      <c r="I1653" s="12"/>
      <c r="J1653" s="12"/>
      <c r="K1653" s="12"/>
      <c r="L1653" s="1"/>
    </row>
    <row r="1654" spans="1:16" ht="15.75" customHeight="1" x14ac:dyDescent="0.35">
      <c r="B1654" s="13"/>
      <c r="C1654" s="13"/>
      <c r="D1654" s="13"/>
      <c r="E1654" s="13"/>
      <c r="F1654" s="33" t="s">
        <v>316</v>
      </c>
      <c r="G1654" s="13"/>
      <c r="I1654" s="14"/>
    </row>
    <row r="1655" spans="1:16" x14ac:dyDescent="0.35">
      <c r="B1655" s="13" t="s">
        <v>5</v>
      </c>
      <c r="C1655" s="13" t="s">
        <v>1</v>
      </c>
      <c r="D1655" s="15" t="str">
        <f>VLOOKUP(A1656,Inventory!$A$4:$K$1139,7)</f>
        <v xml:space="preserve">Sweet Marias                       </v>
      </c>
      <c r="F1655" s="13" t="s">
        <v>235</v>
      </c>
      <c r="G1655" s="16"/>
      <c r="H1655" s="14" t="s">
        <v>236</v>
      </c>
      <c r="L1655" s="17"/>
      <c r="M1655" s="17"/>
    </row>
    <row r="1656" spans="1:16" x14ac:dyDescent="0.35">
      <c r="A1656">
        <v>170</v>
      </c>
      <c r="B1656" s="5">
        <v>44842</v>
      </c>
      <c r="C1656" s="15" t="str">
        <f>VLOOKUP(A1656,Inventory!$A$4:$K$1139,2)</f>
        <v>Guatemala Cafeteros SWP Decaf 2021</v>
      </c>
      <c r="F1656" s="18" t="s">
        <v>237</v>
      </c>
      <c r="G1656" s="2" t="s">
        <v>238</v>
      </c>
      <c r="L1656" s="17"/>
      <c r="M1656" s="17"/>
      <c r="P1656" s="8"/>
    </row>
    <row r="1657" spans="1:16" x14ac:dyDescent="0.35">
      <c r="I1657" s="2" t="s">
        <v>239</v>
      </c>
      <c r="J1657" s="1" t="s">
        <v>16</v>
      </c>
      <c r="L1657" s="19"/>
      <c r="M1657" s="19"/>
    </row>
    <row r="1658" spans="1:16" x14ac:dyDescent="0.35">
      <c r="C1658" s="11" t="s">
        <v>240</v>
      </c>
      <c r="D1658" s="11" t="s">
        <v>241</v>
      </c>
      <c r="E1658" s="11">
        <v>378</v>
      </c>
      <c r="F1658" s="11">
        <v>384</v>
      </c>
      <c r="G1658" s="11">
        <v>390</v>
      </c>
      <c r="H1658" s="11">
        <v>397</v>
      </c>
      <c r="I1658" s="11">
        <v>401</v>
      </c>
      <c r="J1658" s="11">
        <v>403</v>
      </c>
      <c r="K1658" s="11"/>
      <c r="L1658" s="11"/>
    </row>
    <row r="1659" spans="1:16" ht="15.75" customHeight="1" x14ac:dyDescent="0.35">
      <c r="B1659" s="20" t="s">
        <v>242</v>
      </c>
      <c r="C1659" s="21"/>
      <c r="D1659" s="22" t="s">
        <v>243</v>
      </c>
      <c r="E1659" s="23" t="s">
        <v>244</v>
      </c>
      <c r="F1659" s="23" t="s">
        <v>245</v>
      </c>
      <c r="G1659" s="23" t="s">
        <v>246</v>
      </c>
      <c r="H1659" s="23" t="s">
        <v>247</v>
      </c>
      <c r="I1659" s="23" t="s">
        <v>248</v>
      </c>
      <c r="J1659" s="23" t="s">
        <v>259</v>
      </c>
      <c r="O1659" s="4"/>
    </row>
    <row r="1660" spans="1:16" ht="1" customHeight="1" x14ac:dyDescent="0.35">
      <c r="B1660" s="24" t="s">
        <v>249</v>
      </c>
      <c r="C1660" s="25">
        <v>320</v>
      </c>
      <c r="D1660" s="25">
        <v>350</v>
      </c>
      <c r="E1660" s="25">
        <v>377</v>
      </c>
      <c r="F1660" s="25">
        <v>384</v>
      </c>
      <c r="G1660" s="25">
        <v>388</v>
      </c>
      <c r="H1660" s="25">
        <v>392</v>
      </c>
      <c r="I1660" s="25"/>
      <c r="J1660" s="25">
        <v>415</v>
      </c>
      <c r="O1660" t="e">
        <f>(O1658-3*O1657)/O1659</f>
        <v>#DIV/0!</v>
      </c>
    </row>
    <row r="1661" spans="1:16" ht="15.75" customHeight="1" x14ac:dyDescent="0.35">
      <c r="B1661" s="20" t="s">
        <v>250</v>
      </c>
      <c r="C1661" s="26">
        <v>0.24652777777777779</v>
      </c>
      <c r="D1661" s="26">
        <v>0.3263888888888889</v>
      </c>
      <c r="E1661" s="26">
        <v>0.4513888888888889</v>
      </c>
      <c r="F1661" s="26">
        <f>E1661+'Lookup Tables'!$N$1</f>
        <v>0.47222222222222221</v>
      </c>
      <c r="G1661" s="26">
        <f>F1661+'Lookup Tables'!$N$1</f>
        <v>0.49305555555555552</v>
      </c>
      <c r="H1661" s="26">
        <f>G1661+'Lookup Tables'!$N$1</f>
        <v>0.51388888888888884</v>
      </c>
      <c r="I1661" s="26">
        <f>H1661+'Lookup Tables'!$S$1</f>
        <v>0.52430555555555547</v>
      </c>
      <c r="J1661" s="26">
        <f>I1661+'Lookup Tables'!$M$1</f>
        <v>0.5347222222222221</v>
      </c>
      <c r="N1661">
        <f>MAX(F1658:M1658)-O1661</f>
        <v>25</v>
      </c>
      <c r="O1661" t="str">
        <f>RIGHT(E1658,3)</f>
        <v>378</v>
      </c>
    </row>
    <row r="1662" spans="1:16" ht="15.75" customHeight="1" x14ac:dyDescent="0.35">
      <c r="B1662" s="20" t="s">
        <v>251</v>
      </c>
      <c r="C1662" s="27">
        <v>0.2</v>
      </c>
      <c r="D1662" s="27">
        <v>0.5</v>
      </c>
      <c r="E1662" s="27"/>
      <c r="F1662" s="27"/>
      <c r="G1662" s="27"/>
      <c r="H1662" s="27"/>
      <c r="I1662" s="25"/>
      <c r="J1662" s="27"/>
      <c r="N1662" t="str">
        <f xml:space="preserve">  N1661 &amp; " degrees this time"</f>
        <v>25 degrees this time</v>
      </c>
    </row>
    <row r="1663" spans="1:16" ht="15.75" customHeight="1" x14ac:dyDescent="0.35">
      <c r="B1663" s="20" t="s">
        <v>252</v>
      </c>
      <c r="C1663" s="27">
        <v>0.9</v>
      </c>
      <c r="D1663" s="27">
        <v>0.7</v>
      </c>
      <c r="E1663" s="27">
        <v>0.6</v>
      </c>
      <c r="F1663" s="27"/>
      <c r="G1663" s="27"/>
      <c r="H1663" s="27"/>
      <c r="I1663" s="27" t="s">
        <v>275</v>
      </c>
      <c r="J1663" s="27"/>
    </row>
    <row r="1664" spans="1:16" ht="15.75" customHeight="1" x14ac:dyDescent="0.35">
      <c r="B1664" s="20"/>
      <c r="D1664" s="11"/>
      <c r="E1664" s="11"/>
      <c r="F1664" s="28"/>
      <c r="H1664" s="1"/>
      <c r="I1664" s="1"/>
    </row>
    <row r="1665" spans="1:16" ht="15.75" customHeight="1" x14ac:dyDescent="0.35">
      <c r="C1665" s="1"/>
      <c r="G1665" s="1" t="s">
        <v>253</v>
      </c>
      <c r="K1665" s="12"/>
      <c r="L1665" s="9"/>
      <c r="M1665" s="9"/>
    </row>
    <row r="1666" spans="1:16" ht="15.75" customHeight="1" x14ac:dyDescent="0.35">
      <c r="B1666" s="20"/>
      <c r="G1666" s="1"/>
      <c r="H1666" s="1"/>
      <c r="K1666" s="9"/>
      <c r="L1666" s="9"/>
      <c r="M1666" s="9"/>
    </row>
    <row r="1667" spans="1:16" ht="15.75" customHeight="1" x14ac:dyDescent="0.35">
      <c r="B1667" s="20"/>
      <c r="G1667" s="1"/>
      <c r="H1667" s="1"/>
      <c r="K1667" s="9" t="s">
        <v>254</v>
      </c>
      <c r="L1667" s="9"/>
      <c r="M1667" s="9"/>
    </row>
    <row r="1668" spans="1:16" ht="15.75" customHeight="1" x14ac:dyDescent="0.35">
      <c r="B1668" s="9"/>
      <c r="C1668" s="9"/>
      <c r="D1668" s="9"/>
      <c r="E1668" s="9"/>
      <c r="F1668" s="12"/>
      <c r="G1668" s="12"/>
      <c r="H1668" s="12"/>
      <c r="I1668" s="12"/>
      <c r="J1668" s="12"/>
      <c r="K1668" s="12"/>
      <c r="L1668" s="1"/>
    </row>
    <row r="1669" spans="1:16" ht="15.75" customHeight="1" x14ac:dyDescent="0.35">
      <c r="B1669" s="13"/>
      <c r="C1669" s="13"/>
      <c r="D1669" s="15"/>
      <c r="F1669" s="33" t="s">
        <v>316</v>
      </c>
      <c r="H1669" s="14" t="s">
        <v>255</v>
      </c>
      <c r="I1669" s="14"/>
    </row>
    <row r="1670" spans="1:16" x14ac:dyDescent="0.35">
      <c r="B1670" s="13" t="s">
        <v>5</v>
      </c>
      <c r="C1670" s="13" t="s">
        <v>1</v>
      </c>
      <c r="D1670" s="15" t="str">
        <f>VLOOKUP(A1671,Inventory!$A$4:$K$1139,7)</f>
        <v xml:space="preserve">Sweet Marias                       </v>
      </c>
      <c r="F1670" s="13" t="s">
        <v>235</v>
      </c>
      <c r="G1670" s="16"/>
      <c r="H1670" s="14" t="s">
        <v>256</v>
      </c>
      <c r="K1670" s="12" t="s">
        <v>334</v>
      </c>
      <c r="L1670" s="9"/>
      <c r="M1670" s="9"/>
    </row>
    <row r="1671" spans="1:16" x14ac:dyDescent="0.35">
      <c r="A1671">
        <v>170</v>
      </c>
      <c r="B1671" s="5">
        <v>44842</v>
      </c>
      <c r="C1671" s="15" t="str">
        <f>VLOOKUP(A1671,Inventory!$A$4:$K$1139,2)</f>
        <v>Guatemala Cafeteros SWP Decaf 2021</v>
      </c>
      <c r="F1671" s="18" t="s">
        <v>257</v>
      </c>
      <c r="G1671" s="2" t="s">
        <v>238</v>
      </c>
      <c r="P1671" s="8"/>
    </row>
    <row r="1672" spans="1:16" x14ac:dyDescent="0.35">
      <c r="I1672" s="2" t="s">
        <v>258</v>
      </c>
    </row>
    <row r="1673" spans="1:16" x14ac:dyDescent="0.35">
      <c r="C1673" s="11" t="s">
        <v>240</v>
      </c>
      <c r="D1673" s="11" t="s">
        <v>241</v>
      </c>
      <c r="E1673" s="11">
        <v>371</v>
      </c>
      <c r="F1673" s="11">
        <v>375</v>
      </c>
      <c r="G1673" s="11">
        <v>381</v>
      </c>
      <c r="H1673" s="11">
        <v>389</v>
      </c>
      <c r="I1673" s="11">
        <v>399</v>
      </c>
      <c r="J1673" s="11"/>
      <c r="K1673" s="11"/>
      <c r="L1673" s="11"/>
    </row>
    <row r="1674" spans="1:16" ht="15.75" customHeight="1" x14ac:dyDescent="0.35">
      <c r="B1674" s="20" t="s">
        <v>242</v>
      </c>
      <c r="C1674" s="21"/>
      <c r="D1674" s="22" t="s">
        <v>294</v>
      </c>
      <c r="E1674" s="23" t="s">
        <v>244</v>
      </c>
      <c r="F1674" s="23" t="s">
        <v>245</v>
      </c>
      <c r="G1674" s="23" t="s">
        <v>246</v>
      </c>
      <c r="H1674" s="23" t="s">
        <v>247</v>
      </c>
      <c r="I1674" s="23" t="s">
        <v>259</v>
      </c>
      <c r="J1674" s="23" t="s">
        <v>260</v>
      </c>
      <c r="K1674" s="23" t="s">
        <v>261</v>
      </c>
      <c r="O1674" s="4"/>
    </row>
    <row r="1675" spans="1:16" ht="1" customHeight="1" x14ac:dyDescent="0.35">
      <c r="B1675" s="24" t="s">
        <v>249</v>
      </c>
      <c r="C1675" s="25">
        <v>320</v>
      </c>
      <c r="D1675" s="25">
        <v>350</v>
      </c>
      <c r="E1675" s="25">
        <v>377</v>
      </c>
      <c r="F1675" s="25">
        <v>384</v>
      </c>
      <c r="G1675" s="25">
        <v>388</v>
      </c>
      <c r="H1675" s="25">
        <v>392</v>
      </c>
      <c r="I1675" s="25">
        <v>395</v>
      </c>
      <c r="J1675" s="25">
        <v>415</v>
      </c>
      <c r="K1675" s="25">
        <v>415</v>
      </c>
      <c r="O1675" t="e">
        <f>(O1673-3*O1672)/O1674</f>
        <v>#DIV/0!</v>
      </c>
    </row>
    <row r="1676" spans="1:16" ht="15.75" customHeight="1" x14ac:dyDescent="0.35">
      <c r="B1676" s="20" t="s">
        <v>250</v>
      </c>
      <c r="C1676" s="26">
        <v>0.25</v>
      </c>
      <c r="D1676" s="26">
        <v>0.34027777777777773</v>
      </c>
      <c r="E1676" s="26">
        <v>0.46875</v>
      </c>
      <c r="F1676" s="26">
        <f>E1676+'Lookup Tables'!$N$1</f>
        <v>0.48958333333333331</v>
      </c>
      <c r="G1676" s="26">
        <f>F1676+'Lookup Tables'!$N$1</f>
        <v>0.51041666666666663</v>
      </c>
      <c r="H1676" s="26">
        <f>G1676+'Lookup Tables'!$N$1</f>
        <v>0.53125</v>
      </c>
      <c r="I1676" s="26">
        <f>H1676+'Lookup Tables'!$N$1</f>
        <v>0.55208333333333337</v>
      </c>
      <c r="J1676" s="26">
        <f>I1676+'Lookup Tables'!$M$1</f>
        <v>0.5625</v>
      </c>
      <c r="K1676" s="26">
        <f>J1676+'Lookup Tables'!$M$1</f>
        <v>0.57291666666666663</v>
      </c>
      <c r="N1676">
        <f>MAX(F1673:M1673)-O1676</f>
        <v>28</v>
      </c>
      <c r="O1676" t="str">
        <f>RIGHT(E1673,3)</f>
        <v>371</v>
      </c>
    </row>
    <row r="1677" spans="1:16" ht="15.75" customHeight="1" x14ac:dyDescent="0.35">
      <c r="B1677" s="20" t="s">
        <v>251</v>
      </c>
      <c r="C1677" s="27">
        <v>0.2</v>
      </c>
      <c r="D1677" s="27">
        <v>0.5</v>
      </c>
      <c r="E1677" s="27"/>
      <c r="F1677" s="27"/>
      <c r="G1677" s="27"/>
      <c r="H1677" s="27"/>
      <c r="I1677" s="27"/>
      <c r="J1677" s="27"/>
      <c r="K1677" s="25"/>
      <c r="N1677" t="str">
        <f xml:space="preserve">  N1676 &amp; " degrees this time"</f>
        <v>28 degrees this time</v>
      </c>
    </row>
    <row r="1678" spans="1:16" ht="15.75" customHeight="1" x14ac:dyDescent="0.35">
      <c r="B1678" s="20" t="s">
        <v>252</v>
      </c>
      <c r="C1678" s="27">
        <v>0.9</v>
      </c>
      <c r="D1678" s="27">
        <v>0.7</v>
      </c>
      <c r="E1678" s="27">
        <v>0.6</v>
      </c>
      <c r="F1678" s="27"/>
      <c r="G1678" s="27"/>
      <c r="H1678" s="27"/>
      <c r="I1678" s="27"/>
      <c r="J1678" s="27"/>
      <c r="K1678" s="27"/>
    </row>
    <row r="1679" spans="1:16" ht="15.75" customHeight="1" x14ac:dyDescent="0.35">
      <c r="B1679" s="20"/>
      <c r="D1679" s="11"/>
      <c r="E1679" s="11"/>
      <c r="F1679" s="28"/>
      <c r="H1679" s="1"/>
    </row>
    <row r="1680" spans="1:16" ht="15.75" customHeight="1" x14ac:dyDescent="0.35">
      <c r="B1680" s="1" t="s">
        <v>262</v>
      </c>
      <c r="F1680" t="s">
        <v>263</v>
      </c>
      <c r="G1680" s="1"/>
      <c r="K1680" s="12"/>
      <c r="L1680" s="9"/>
      <c r="M1680" s="9"/>
    </row>
    <row r="1681" spans="1:16" ht="15.75" customHeight="1" x14ac:dyDescent="0.35">
      <c r="B1681" s="20" t="s">
        <v>264</v>
      </c>
      <c r="D1681" s="29"/>
      <c r="F1681" t="s">
        <v>265</v>
      </c>
      <c r="G1681" s="1"/>
      <c r="H1681" s="1"/>
      <c r="K1681" s="9" t="s">
        <v>266</v>
      </c>
      <c r="L1681" s="9"/>
      <c r="M1681" s="9"/>
    </row>
    <row r="1682" spans="1:16" ht="15.75" customHeight="1" x14ac:dyDescent="0.35">
      <c r="B1682" s="20" t="s">
        <v>267</v>
      </c>
      <c r="F1682" t="s">
        <v>268</v>
      </c>
      <c r="G1682" s="1"/>
      <c r="H1682" s="1"/>
      <c r="K1682" s="9" t="s">
        <v>254</v>
      </c>
      <c r="L1682" s="9"/>
      <c r="M1682" s="9"/>
    </row>
    <row r="1683" spans="1:16" ht="15.75" customHeight="1" x14ac:dyDescent="0.35">
      <c r="B1683" s="9"/>
      <c r="C1683" s="9"/>
      <c r="D1683" s="9"/>
      <c r="E1683" s="9"/>
      <c r="F1683" s="12"/>
      <c r="G1683" s="12"/>
      <c r="H1683" s="12"/>
      <c r="I1683" s="12"/>
      <c r="J1683" s="12"/>
      <c r="K1683" s="12"/>
      <c r="L1683" s="1"/>
    </row>
    <row r="1684" spans="1:16" ht="15.75" customHeight="1" x14ac:dyDescent="0.35">
      <c r="B1684" s="13"/>
      <c r="C1684" s="13"/>
      <c r="D1684" s="13"/>
      <c r="E1684" s="13"/>
      <c r="F1684" s="33" t="s">
        <v>316</v>
      </c>
      <c r="G1684" s="13"/>
      <c r="I1684" s="14"/>
    </row>
    <row r="1685" spans="1:16" x14ac:dyDescent="0.35">
      <c r="B1685" s="13" t="s">
        <v>5</v>
      </c>
      <c r="C1685" s="13" t="s">
        <v>1</v>
      </c>
      <c r="D1685" s="15" t="str">
        <f>VLOOKUP(A1686,Inventory!$A$4:$K$1139,7)</f>
        <v xml:space="preserve">Sweet Marias                       </v>
      </c>
      <c r="F1685" s="13" t="s">
        <v>235</v>
      </c>
      <c r="G1685" s="16"/>
      <c r="H1685" s="14" t="s">
        <v>236</v>
      </c>
      <c r="L1685" s="17"/>
      <c r="M1685" s="17"/>
    </row>
    <row r="1686" spans="1:16" x14ac:dyDescent="0.35">
      <c r="A1686">
        <v>171</v>
      </c>
      <c r="B1686" s="5">
        <v>44842</v>
      </c>
      <c r="C1686" s="15" t="str">
        <f>VLOOKUP(A1686,Inventory!$A$4:$K$1139,2)</f>
        <v>Ethiopia Gera-Goma SWP Decaf 2021</v>
      </c>
      <c r="F1686" s="18" t="s">
        <v>237</v>
      </c>
      <c r="G1686" s="2" t="s">
        <v>238</v>
      </c>
      <c r="L1686" s="17"/>
      <c r="M1686" s="17"/>
      <c r="P1686" s="8"/>
    </row>
    <row r="1687" spans="1:16" x14ac:dyDescent="0.35">
      <c r="I1687" s="2" t="s">
        <v>239</v>
      </c>
      <c r="J1687" s="1" t="s">
        <v>16</v>
      </c>
      <c r="L1687" s="19"/>
      <c r="M1687" s="19"/>
    </row>
    <row r="1688" spans="1:16" x14ac:dyDescent="0.35">
      <c r="C1688" s="11" t="s">
        <v>240</v>
      </c>
      <c r="D1688" s="11" t="s">
        <v>241</v>
      </c>
      <c r="E1688" s="11">
        <v>379</v>
      </c>
      <c r="F1688" s="11">
        <v>384</v>
      </c>
      <c r="G1688" s="11">
        <v>389</v>
      </c>
      <c r="H1688" s="11">
        <v>393</v>
      </c>
      <c r="I1688" s="11">
        <v>398</v>
      </c>
      <c r="J1688" s="11">
        <v>404</v>
      </c>
      <c r="K1688" s="11"/>
      <c r="L1688" s="11"/>
    </row>
    <row r="1689" spans="1:16" ht="15.75" customHeight="1" x14ac:dyDescent="0.35">
      <c r="B1689" s="20" t="s">
        <v>242</v>
      </c>
      <c r="C1689" s="21"/>
      <c r="D1689" s="22" t="s">
        <v>333</v>
      </c>
      <c r="E1689" s="23" t="s">
        <v>244</v>
      </c>
      <c r="F1689" s="23" t="s">
        <v>245</v>
      </c>
      <c r="G1689" s="23" t="s">
        <v>246</v>
      </c>
      <c r="H1689" s="23" t="s">
        <v>247</v>
      </c>
      <c r="I1689" s="23" t="s">
        <v>259</v>
      </c>
      <c r="J1689" s="23" t="s">
        <v>261</v>
      </c>
      <c r="O1689" s="4"/>
    </row>
    <row r="1690" spans="1:16" ht="1" customHeight="1" x14ac:dyDescent="0.35">
      <c r="B1690" s="24" t="s">
        <v>249</v>
      </c>
      <c r="C1690" s="25">
        <v>320</v>
      </c>
      <c r="D1690" s="25">
        <v>350</v>
      </c>
      <c r="E1690" s="25">
        <v>377</v>
      </c>
      <c r="F1690" s="25">
        <v>384</v>
      </c>
      <c r="G1690" s="25">
        <v>388</v>
      </c>
      <c r="H1690" s="25">
        <v>392</v>
      </c>
      <c r="I1690" s="25">
        <v>415</v>
      </c>
      <c r="J1690" s="25">
        <v>415</v>
      </c>
      <c r="O1690" t="e">
        <f>(O1688-3*O1687)/O1689</f>
        <v>#DIV/0!</v>
      </c>
    </row>
    <row r="1691" spans="1:16" ht="15.75" customHeight="1" x14ac:dyDescent="0.35">
      <c r="B1691" s="20" t="s">
        <v>250</v>
      </c>
      <c r="C1691" s="26"/>
      <c r="D1691" s="26"/>
      <c r="E1691" s="26"/>
      <c r="F1691" s="26">
        <f>E1691+'Lookup Tables'!$N$1</f>
        <v>2.0833333333333332E-2</v>
      </c>
      <c r="G1691" s="26">
        <f>F1691+'Lookup Tables'!$N$1</f>
        <v>4.1666666666666664E-2</v>
      </c>
      <c r="H1691" s="26">
        <f>G1691+'Lookup Tables'!$N$1</f>
        <v>6.25E-2</v>
      </c>
      <c r="I1691" s="26">
        <f>H1691+'Lookup Tables'!$N$1</f>
        <v>8.3333333333333329E-2</v>
      </c>
      <c r="J1691" s="26">
        <f>I1691+'Lookup Tables'!$N$1</f>
        <v>0.10416666666666666</v>
      </c>
      <c r="N1691">
        <f>MAX(F1688:M1688)-O1691</f>
        <v>25</v>
      </c>
      <c r="O1691" t="str">
        <f>RIGHT(E1688,3)</f>
        <v>379</v>
      </c>
    </row>
    <row r="1692" spans="1:16" ht="15.75" customHeight="1" x14ac:dyDescent="0.35">
      <c r="B1692" s="20" t="s">
        <v>251</v>
      </c>
      <c r="C1692" s="27">
        <v>0.2</v>
      </c>
      <c r="D1692" s="27">
        <v>0.5</v>
      </c>
      <c r="E1692" s="27"/>
      <c r="F1692" s="27"/>
      <c r="G1692" s="27"/>
      <c r="H1692" s="27"/>
      <c r="I1692" s="25"/>
      <c r="J1692" s="27"/>
      <c r="N1692" t="str">
        <f xml:space="preserve">  N1691 &amp; " degrees this time"</f>
        <v>25 degrees this time</v>
      </c>
    </row>
    <row r="1693" spans="1:16" ht="15.75" customHeight="1" x14ac:dyDescent="0.35">
      <c r="B1693" s="20" t="s">
        <v>252</v>
      </c>
      <c r="C1693" s="27">
        <v>0.9</v>
      </c>
      <c r="D1693" s="27">
        <v>0.7</v>
      </c>
      <c r="E1693" s="27">
        <v>0.6</v>
      </c>
      <c r="F1693" s="27"/>
      <c r="G1693" s="27">
        <v>0.7</v>
      </c>
      <c r="H1693" s="27"/>
      <c r="I1693" s="27" t="s">
        <v>275</v>
      </c>
      <c r="J1693" s="27"/>
    </row>
    <row r="1694" spans="1:16" ht="15.75" customHeight="1" x14ac:dyDescent="0.35">
      <c r="B1694" s="20"/>
      <c r="D1694" s="11"/>
      <c r="E1694" s="11"/>
      <c r="F1694" s="28"/>
      <c r="G1694" s="56" t="s">
        <v>399</v>
      </c>
      <c r="H1694" s="56"/>
      <c r="I1694" s="56"/>
    </row>
    <row r="1695" spans="1:16" ht="15.75" customHeight="1" x14ac:dyDescent="0.35">
      <c r="C1695" s="1"/>
      <c r="G1695" s="1" t="s">
        <v>253</v>
      </c>
      <c r="K1695" s="12" t="s">
        <v>400</v>
      </c>
      <c r="L1695" s="9"/>
      <c r="M1695" s="9"/>
    </row>
    <row r="1696" spans="1:16" ht="15.75" customHeight="1" x14ac:dyDescent="0.35">
      <c r="B1696" s="20"/>
      <c r="G1696" s="1"/>
      <c r="H1696" s="1"/>
      <c r="K1696" s="9"/>
      <c r="L1696" s="9"/>
      <c r="M1696" s="9"/>
    </row>
    <row r="1697" spans="1:16" ht="15.75" customHeight="1" x14ac:dyDescent="0.35">
      <c r="B1697" s="20"/>
      <c r="G1697" s="1"/>
      <c r="H1697" s="1"/>
      <c r="K1697" s="9" t="s">
        <v>254</v>
      </c>
      <c r="L1697" s="9"/>
      <c r="M1697" s="9"/>
    </row>
    <row r="1698" spans="1:16" ht="15.75" customHeight="1" x14ac:dyDescent="0.35">
      <c r="B1698" s="9"/>
      <c r="C1698" s="9"/>
      <c r="D1698" s="9"/>
      <c r="E1698" s="9"/>
      <c r="F1698" s="12"/>
      <c r="G1698" s="12"/>
      <c r="H1698" s="12"/>
      <c r="I1698" s="12"/>
      <c r="J1698" s="12"/>
      <c r="K1698" s="12"/>
      <c r="L1698" s="1"/>
    </row>
    <row r="1699" spans="1:16" ht="15.75" customHeight="1" x14ac:dyDescent="0.35">
      <c r="B1699" s="13"/>
      <c r="C1699" s="13"/>
      <c r="D1699" s="15"/>
      <c r="F1699" s="33" t="s">
        <v>316</v>
      </c>
      <c r="H1699" s="14" t="s">
        <v>255</v>
      </c>
      <c r="I1699" s="14"/>
    </row>
    <row r="1700" spans="1:16" x14ac:dyDescent="0.35">
      <c r="B1700" s="13" t="s">
        <v>5</v>
      </c>
      <c r="C1700" s="13" t="s">
        <v>1</v>
      </c>
      <c r="D1700" s="15" t="str">
        <f>VLOOKUP(A1701,Inventory!$A$4:$K$1139,7)</f>
        <v xml:space="preserve">Sweet Marias                       </v>
      </c>
      <c r="F1700" s="13" t="s">
        <v>235</v>
      </c>
      <c r="G1700" s="16"/>
      <c r="H1700" s="14" t="s">
        <v>256</v>
      </c>
      <c r="K1700" s="12" t="s">
        <v>334</v>
      </c>
      <c r="L1700" s="9"/>
      <c r="M1700" s="9"/>
    </row>
    <row r="1701" spans="1:16" x14ac:dyDescent="0.35">
      <c r="A1701">
        <v>171</v>
      </c>
      <c r="B1701" s="5">
        <v>44842</v>
      </c>
      <c r="C1701" s="15" t="str">
        <f>VLOOKUP(A1701,Inventory!$A$4:$K$1139,2)</f>
        <v>Ethiopia Gera-Goma SWP Decaf 2021</v>
      </c>
      <c r="F1701" s="18" t="s">
        <v>257</v>
      </c>
      <c r="G1701" s="2" t="s">
        <v>238</v>
      </c>
      <c r="P1701" s="8"/>
    </row>
    <row r="1702" spans="1:16" x14ac:dyDescent="0.35">
      <c r="H1702" s="2" t="s">
        <v>258</v>
      </c>
    </row>
    <row r="1703" spans="1:16" x14ac:dyDescent="0.35">
      <c r="C1703" s="11" t="s">
        <v>240</v>
      </c>
      <c r="D1703" s="11" t="s">
        <v>241</v>
      </c>
      <c r="E1703" s="11">
        <v>371</v>
      </c>
      <c r="F1703" s="11">
        <v>377</v>
      </c>
      <c r="G1703" s="11">
        <v>383</v>
      </c>
      <c r="H1703" s="11">
        <v>390</v>
      </c>
      <c r="I1703" s="11"/>
      <c r="J1703" s="11"/>
      <c r="K1703" s="11"/>
      <c r="L1703" s="11"/>
    </row>
    <row r="1704" spans="1:16" ht="15.75" customHeight="1" x14ac:dyDescent="0.35">
      <c r="B1704" s="20" t="s">
        <v>242</v>
      </c>
      <c r="C1704" s="21"/>
      <c r="D1704" s="22" t="s">
        <v>294</v>
      </c>
      <c r="E1704" s="23" t="s">
        <v>244</v>
      </c>
      <c r="F1704" s="23" t="s">
        <v>245</v>
      </c>
      <c r="G1704" s="23" t="s">
        <v>246</v>
      </c>
      <c r="H1704" s="23" t="s">
        <v>247</v>
      </c>
      <c r="I1704" s="23" t="s">
        <v>259</v>
      </c>
      <c r="J1704" s="23" t="s">
        <v>260</v>
      </c>
      <c r="K1704" s="23" t="s">
        <v>261</v>
      </c>
      <c r="O1704" s="4"/>
    </row>
    <row r="1705" spans="1:16" ht="1" customHeight="1" x14ac:dyDescent="0.35">
      <c r="B1705" s="24" t="s">
        <v>249</v>
      </c>
      <c r="C1705" s="25">
        <v>320</v>
      </c>
      <c r="D1705" s="25">
        <v>350</v>
      </c>
      <c r="E1705" s="25">
        <v>377</v>
      </c>
      <c r="F1705" s="25">
        <v>384</v>
      </c>
      <c r="G1705" s="25">
        <v>388</v>
      </c>
      <c r="H1705" s="25">
        <v>392</v>
      </c>
      <c r="I1705" s="25">
        <v>395</v>
      </c>
      <c r="J1705" s="25">
        <v>415</v>
      </c>
      <c r="K1705" s="25">
        <v>415</v>
      </c>
      <c r="O1705" t="e">
        <f>(O1703-3*O1702)/O1704</f>
        <v>#DIV/0!</v>
      </c>
    </row>
    <row r="1706" spans="1:16" ht="15.75" customHeight="1" x14ac:dyDescent="0.35">
      <c r="B1706" s="20" t="s">
        <v>250</v>
      </c>
      <c r="C1706" s="26">
        <v>0.23958333333333334</v>
      </c>
      <c r="D1706" s="26">
        <v>0.3298611111111111</v>
      </c>
      <c r="E1706" s="26">
        <v>0.44444444444444442</v>
      </c>
      <c r="F1706" s="26">
        <f>E1706+'Lookup Tables'!$N$1</f>
        <v>0.46527777777777773</v>
      </c>
      <c r="G1706" s="26">
        <f>F1706+'Lookup Tables'!$N$1</f>
        <v>0.48611111111111105</v>
      </c>
      <c r="H1706" s="26">
        <f>G1706+'Lookup Tables'!$N$1</f>
        <v>0.50694444444444442</v>
      </c>
      <c r="I1706" s="26">
        <f>H1706+'Lookup Tables'!$N$1</f>
        <v>0.52777777777777779</v>
      </c>
      <c r="J1706" s="26">
        <f>I1706+'Lookup Tables'!$M$1</f>
        <v>0.53819444444444442</v>
      </c>
      <c r="K1706" s="26">
        <f>J1706+'Lookup Tables'!$M$1</f>
        <v>0.54861111111111105</v>
      </c>
      <c r="N1706">
        <f>MAX(F1703:M1703)-O1706</f>
        <v>19</v>
      </c>
      <c r="O1706" t="str">
        <f>RIGHT(E1703,3)</f>
        <v>371</v>
      </c>
    </row>
    <row r="1707" spans="1:16" ht="15.75" customHeight="1" x14ac:dyDescent="0.35">
      <c r="B1707" s="20" t="s">
        <v>251</v>
      </c>
      <c r="C1707" s="27">
        <v>0.2</v>
      </c>
      <c r="D1707" s="27">
        <v>0.5</v>
      </c>
      <c r="E1707" s="27"/>
      <c r="F1707" s="27"/>
      <c r="G1707" s="27"/>
      <c r="H1707" s="27"/>
      <c r="I1707" s="27"/>
      <c r="J1707" s="27"/>
      <c r="K1707" s="25"/>
      <c r="N1707" t="str">
        <f xml:space="preserve">  N1706 &amp; " degrees this time"</f>
        <v>19 degrees this time</v>
      </c>
    </row>
    <row r="1708" spans="1:16" ht="15.75" customHeight="1" x14ac:dyDescent="0.35">
      <c r="B1708" s="20" t="s">
        <v>252</v>
      </c>
      <c r="C1708" s="27">
        <v>0.9</v>
      </c>
      <c r="D1708" s="27">
        <v>0.7</v>
      </c>
      <c r="E1708" s="27">
        <v>0.6</v>
      </c>
      <c r="F1708" s="27"/>
      <c r="G1708" s="27"/>
      <c r="H1708" s="27"/>
      <c r="I1708" s="27"/>
      <c r="J1708" s="27"/>
      <c r="K1708" s="27"/>
    </row>
    <row r="1709" spans="1:16" ht="15.75" customHeight="1" x14ac:dyDescent="0.35">
      <c r="B1709" s="20"/>
      <c r="D1709" s="11"/>
      <c r="E1709" s="11"/>
      <c r="F1709" s="28"/>
      <c r="H1709" s="1"/>
    </row>
    <row r="1710" spans="1:16" ht="15.75" customHeight="1" x14ac:dyDescent="0.35">
      <c r="B1710" s="1" t="s">
        <v>262</v>
      </c>
      <c r="F1710" t="s">
        <v>263</v>
      </c>
      <c r="G1710" s="1"/>
      <c r="K1710" s="12"/>
      <c r="L1710" s="9"/>
      <c r="M1710" s="9"/>
    </row>
    <row r="1711" spans="1:16" ht="15.75" customHeight="1" x14ac:dyDescent="0.35">
      <c r="B1711" s="20" t="s">
        <v>264</v>
      </c>
      <c r="D1711" s="29"/>
      <c r="F1711" t="s">
        <v>265</v>
      </c>
      <c r="G1711" s="1"/>
      <c r="H1711" s="1"/>
      <c r="K1711" s="9" t="s">
        <v>266</v>
      </c>
      <c r="L1711" s="9"/>
      <c r="M1711" s="9"/>
    </row>
    <row r="1712" spans="1:16" ht="15.75" customHeight="1" x14ac:dyDescent="0.35">
      <c r="B1712" s="20" t="s">
        <v>267</v>
      </c>
      <c r="F1712" t="s">
        <v>268</v>
      </c>
      <c r="G1712" s="1"/>
      <c r="H1712" s="1"/>
      <c r="K1712" s="9" t="s">
        <v>254</v>
      </c>
      <c r="L1712" s="9"/>
      <c r="M1712" s="9"/>
    </row>
    <row r="1713" spans="1:16" ht="15.75" customHeight="1" x14ac:dyDescent="0.35">
      <c r="B1713" s="9"/>
      <c r="C1713" s="9"/>
      <c r="D1713" s="9"/>
      <c r="E1713" s="9"/>
      <c r="F1713" s="12"/>
      <c r="G1713" s="12"/>
      <c r="H1713" s="12"/>
      <c r="I1713" s="12"/>
      <c r="J1713" s="12"/>
      <c r="K1713" s="12"/>
      <c r="L1713" s="1"/>
    </row>
    <row r="1714" spans="1:16" ht="15.75" customHeight="1" x14ac:dyDescent="0.35">
      <c r="B1714" s="13"/>
      <c r="C1714" s="13"/>
      <c r="D1714" s="15"/>
      <c r="E1714" s="33" t="s">
        <v>341</v>
      </c>
      <c r="F1714" s="33" t="s">
        <v>401</v>
      </c>
      <c r="G1714" s="16"/>
      <c r="I1714" s="14"/>
    </row>
    <row r="1715" spans="1:16" x14ac:dyDescent="0.35">
      <c r="B1715" s="13" t="s">
        <v>5</v>
      </c>
      <c r="C1715" s="13" t="s">
        <v>1</v>
      </c>
      <c r="D1715" s="15" t="str">
        <f>VLOOKUP(A1716,Inventory!$A$4:$K$1139,7)</f>
        <v>Coffee Bean corral</v>
      </c>
      <c r="F1715" s="13" t="s">
        <v>235</v>
      </c>
      <c r="G1715" s="16"/>
      <c r="H1715" s="14" t="s">
        <v>236</v>
      </c>
      <c r="L1715" s="17"/>
      <c r="M1715" s="17"/>
    </row>
    <row r="1716" spans="1:16" x14ac:dyDescent="0.35">
      <c r="A1716">
        <v>151</v>
      </c>
      <c r="B1716" s="5">
        <v>44831</v>
      </c>
      <c r="C1716" s="15" t="str">
        <f>VLOOKUP(A1716,Inventory!$A$4:$K$1139,2)</f>
        <v>Yemen Mocca Ismaili Natural 2018</v>
      </c>
      <c r="F1716" s="34" t="s">
        <v>279</v>
      </c>
      <c r="G1716" s="2" t="s">
        <v>286</v>
      </c>
      <c r="L1716" s="17"/>
      <c r="M1716" s="17"/>
      <c r="P1716" s="8"/>
    </row>
    <row r="1717" spans="1:16" x14ac:dyDescent="0.35">
      <c r="B1717" t="s">
        <v>16</v>
      </c>
      <c r="G1717" s="16"/>
      <c r="L1717" s="19"/>
      <c r="M1717" s="19"/>
    </row>
    <row r="1718" spans="1:16" x14ac:dyDescent="0.35">
      <c r="B1718" s="20"/>
      <c r="C1718" s="11" t="s">
        <v>240</v>
      </c>
      <c r="D1718" s="11" t="s">
        <v>272</v>
      </c>
      <c r="E1718" s="11">
        <v>378</v>
      </c>
      <c r="F1718" s="11">
        <v>387</v>
      </c>
      <c r="G1718" s="11">
        <v>397</v>
      </c>
      <c r="H1718" s="11" t="s">
        <v>310</v>
      </c>
      <c r="I1718" s="11"/>
      <c r="J1718" s="11"/>
      <c r="K1718" s="11"/>
      <c r="L1718" s="28"/>
    </row>
    <row r="1719" spans="1:16" ht="15.75" customHeight="1" x14ac:dyDescent="0.35">
      <c r="B1719" s="20" t="s">
        <v>242</v>
      </c>
      <c r="C1719" s="21"/>
      <c r="D1719" s="22" t="s">
        <v>294</v>
      </c>
      <c r="E1719" s="23" t="s">
        <v>244</v>
      </c>
      <c r="F1719" s="23" t="s">
        <v>245</v>
      </c>
      <c r="G1719" s="23" t="s">
        <v>246</v>
      </c>
      <c r="H1719" s="23" t="s">
        <v>273</v>
      </c>
      <c r="O1719" s="4"/>
    </row>
    <row r="1720" spans="1:16" ht="1" customHeight="1" x14ac:dyDescent="0.35">
      <c r="B1720" s="24" t="s">
        <v>249</v>
      </c>
      <c r="C1720" s="25">
        <v>320</v>
      </c>
      <c r="D1720" s="25">
        <v>350</v>
      </c>
      <c r="E1720" s="25"/>
      <c r="F1720" s="25"/>
      <c r="G1720" s="25"/>
      <c r="H1720" s="23" t="s">
        <v>247</v>
      </c>
      <c r="O1720" t="e">
        <f>(O1718-3*O1717)/O1719</f>
        <v>#DIV/0!</v>
      </c>
    </row>
    <row r="1721" spans="1:16" ht="15.75" customHeight="1" x14ac:dyDescent="0.35">
      <c r="B1721" s="20" t="s">
        <v>250</v>
      </c>
      <c r="C1721" s="26">
        <v>0.21527777777777779</v>
      </c>
      <c r="D1721" s="26">
        <v>0.30208333333333331</v>
      </c>
      <c r="E1721" s="26">
        <v>0.39583333333333331</v>
      </c>
      <c r="F1721" s="26">
        <f>E1721+'Lookup Tables'!$N$1</f>
        <v>0.41666666666666663</v>
      </c>
      <c r="G1721" s="26">
        <f>F1721+'Lookup Tables'!$N$1</f>
        <v>0.43749999999999994</v>
      </c>
      <c r="H1721" s="26">
        <f>G1721+'Lookup Tables'!$S$1</f>
        <v>0.44791666666666663</v>
      </c>
      <c r="I1721" s="11"/>
      <c r="J1721" s="11"/>
      <c r="K1721" s="11"/>
      <c r="N1721">
        <f>MAX(F1718:M1718)-O1721</f>
        <v>19</v>
      </c>
      <c r="O1721" t="str">
        <f>RIGHT(E1718,3)</f>
        <v>378</v>
      </c>
    </row>
    <row r="1722" spans="1:16" ht="15.75" customHeight="1" x14ac:dyDescent="0.35">
      <c r="B1722" s="20" t="s">
        <v>251</v>
      </c>
      <c r="C1722" s="27">
        <v>0.2</v>
      </c>
      <c r="D1722" s="27">
        <v>0.5</v>
      </c>
      <c r="E1722" s="27"/>
      <c r="F1722" s="27"/>
      <c r="G1722" s="27">
        <v>0.25</v>
      </c>
      <c r="H1722" s="27"/>
      <c r="N1722" t="str">
        <f xml:space="preserve">  N1721 &amp; " degrees this time"</f>
        <v>19 degrees this time</v>
      </c>
    </row>
    <row r="1723" spans="1:16" ht="15.75" customHeight="1" x14ac:dyDescent="0.35">
      <c r="B1723" s="20" t="s">
        <v>252</v>
      </c>
      <c r="C1723" s="27">
        <v>0.9</v>
      </c>
      <c r="D1723" s="27">
        <v>0.7</v>
      </c>
      <c r="E1723" s="27">
        <v>0.4</v>
      </c>
      <c r="F1723" s="27"/>
      <c r="G1723" s="27"/>
      <c r="H1723" s="27" t="s">
        <v>275</v>
      </c>
    </row>
    <row r="1724" spans="1:16" ht="15.75" customHeight="1" x14ac:dyDescent="0.35">
      <c r="B1724" s="20"/>
      <c r="D1724" s="11"/>
      <c r="E1724" s="40"/>
      <c r="F1724" s="11"/>
      <c r="G1724" s="11"/>
      <c r="K1724" s="32" t="s">
        <v>402</v>
      </c>
      <c r="L1724" s="9"/>
      <c r="M1724" s="9"/>
    </row>
    <row r="1725" spans="1:16" ht="15.75" customHeight="1" x14ac:dyDescent="0.35">
      <c r="B1725" s="38"/>
      <c r="D1725" s="15"/>
      <c r="F1725" s="13"/>
      <c r="G1725" s="1" t="s">
        <v>403</v>
      </c>
      <c r="K1725" s="32"/>
      <c r="L1725" s="9"/>
      <c r="M1725" s="9"/>
    </row>
    <row r="1726" spans="1:16" ht="15.75" customHeight="1" x14ac:dyDescent="0.35">
      <c r="B1726" s="20"/>
      <c r="G1726" s="1"/>
      <c r="H1726" s="1"/>
      <c r="K1726" s="9"/>
      <c r="L1726" s="9"/>
      <c r="M1726" s="9"/>
    </row>
    <row r="1727" spans="1:16" ht="15.75" customHeight="1" x14ac:dyDescent="0.35">
      <c r="B1727" s="20"/>
      <c r="G1727" s="1"/>
      <c r="H1727" s="1"/>
      <c r="K1727" s="9" t="s">
        <v>297</v>
      </c>
      <c r="L1727" s="9"/>
      <c r="M1727" s="9"/>
    </row>
    <row r="1728" spans="1:16" ht="15.75" customHeight="1" x14ac:dyDescent="0.35">
      <c r="B1728" s="9"/>
      <c r="C1728" s="9"/>
      <c r="D1728" s="9"/>
      <c r="E1728" s="9"/>
      <c r="F1728" s="12"/>
      <c r="G1728" s="12"/>
      <c r="H1728" s="12"/>
      <c r="I1728" s="12"/>
      <c r="J1728" s="12"/>
      <c r="K1728" s="12"/>
      <c r="L1728" s="1"/>
    </row>
    <row r="1729" spans="1:16" ht="15.75" customHeight="1" x14ac:dyDescent="0.35">
      <c r="B1729" s="13"/>
      <c r="C1729" s="13"/>
      <c r="D1729" s="15"/>
      <c r="E1729" s="33" t="s">
        <v>316</v>
      </c>
      <c r="F1729" s="33" t="s">
        <v>401</v>
      </c>
      <c r="G1729" s="16"/>
      <c r="H1729" s="14" t="s">
        <v>255</v>
      </c>
      <c r="I1729" s="14"/>
    </row>
    <row r="1730" spans="1:16" x14ac:dyDescent="0.35">
      <c r="B1730" s="13" t="s">
        <v>5</v>
      </c>
      <c r="C1730" s="13" t="s">
        <v>1</v>
      </c>
      <c r="D1730" s="15" t="str">
        <f>VLOOKUP(A1731,Inventory!$A$4:$K$1139,7)</f>
        <v xml:space="preserve">Sweet Marias                       </v>
      </c>
      <c r="F1730" s="13" t="s">
        <v>235</v>
      </c>
      <c r="G1730" s="16"/>
      <c r="H1730" s="14" t="s">
        <v>236</v>
      </c>
      <c r="L1730" s="17"/>
      <c r="M1730" s="17"/>
    </row>
    <row r="1731" spans="1:16" x14ac:dyDescent="0.35">
      <c r="A1731">
        <v>169</v>
      </c>
      <c r="B1731" s="5">
        <v>44831</v>
      </c>
      <c r="C1731" s="15" t="str">
        <f>VLOOKUP(A1731,Inventory!$A$4:$K$1139,2)</f>
        <v>Yemen Mokha Matari 2021</v>
      </c>
      <c r="F1731" s="31" t="s">
        <v>291</v>
      </c>
      <c r="G1731" s="2" t="s">
        <v>286</v>
      </c>
      <c r="L1731" s="17"/>
      <c r="M1731" s="17"/>
      <c r="P1731" s="8"/>
    </row>
    <row r="1732" spans="1:16" x14ac:dyDescent="0.35">
      <c r="B1732" t="s">
        <v>16</v>
      </c>
      <c r="G1732" s="16"/>
      <c r="L1732" s="19"/>
      <c r="M1732" s="19"/>
    </row>
    <row r="1733" spans="1:16" x14ac:dyDescent="0.35">
      <c r="B1733" s="20"/>
      <c r="C1733" s="11" t="s">
        <v>240</v>
      </c>
      <c r="D1733" s="11" t="s">
        <v>272</v>
      </c>
      <c r="E1733" s="11">
        <v>373</v>
      </c>
      <c r="F1733" s="11">
        <v>380</v>
      </c>
      <c r="G1733" s="11">
        <v>388</v>
      </c>
      <c r="H1733" s="11">
        <v>394</v>
      </c>
      <c r="I1733" s="11"/>
      <c r="J1733" s="11"/>
      <c r="K1733" s="11"/>
      <c r="L1733" s="28"/>
    </row>
    <row r="1734" spans="1:16" ht="15.75" customHeight="1" x14ac:dyDescent="0.35">
      <c r="B1734" s="20" t="s">
        <v>242</v>
      </c>
      <c r="C1734" s="21"/>
      <c r="D1734" s="22" t="s">
        <v>294</v>
      </c>
      <c r="E1734" s="23" t="s">
        <v>244</v>
      </c>
      <c r="F1734" s="23" t="s">
        <v>245</v>
      </c>
      <c r="G1734" s="23" t="s">
        <v>246</v>
      </c>
      <c r="H1734" s="23" t="s">
        <v>273</v>
      </c>
      <c r="I1734" s="23" t="s">
        <v>247</v>
      </c>
      <c r="O1734" s="4"/>
    </row>
    <row r="1735" spans="1:16" ht="1" customHeight="1" x14ac:dyDescent="0.35">
      <c r="B1735" s="24" t="s">
        <v>249</v>
      </c>
      <c r="C1735" s="25">
        <v>320</v>
      </c>
      <c r="D1735" s="25">
        <v>350</v>
      </c>
      <c r="E1735" s="25"/>
      <c r="F1735" s="25"/>
      <c r="G1735" s="25"/>
      <c r="H1735" s="23" t="s">
        <v>247</v>
      </c>
      <c r="I1735" s="25"/>
      <c r="O1735" t="e">
        <f>(O1733-3*O1732)/O1734</f>
        <v>#DIV/0!</v>
      </c>
    </row>
    <row r="1736" spans="1:16" ht="15.75" customHeight="1" x14ac:dyDescent="0.35">
      <c r="B1736" s="20" t="s">
        <v>250</v>
      </c>
      <c r="C1736" s="26">
        <v>0.21527777777777779</v>
      </c>
      <c r="D1736" s="26">
        <v>0.30902777777777779</v>
      </c>
      <c r="E1736" s="26">
        <v>0.40625</v>
      </c>
      <c r="F1736" s="26">
        <f>E1736+'Lookup Tables'!$N$1</f>
        <v>0.42708333333333331</v>
      </c>
      <c r="G1736" s="26">
        <f>F1736+'Lookup Tables'!$N$1</f>
        <v>0.44791666666666663</v>
      </c>
      <c r="H1736" s="26">
        <f>G1736+'Lookup Tables'!$S$1</f>
        <v>0.45833333333333331</v>
      </c>
      <c r="I1736" s="26">
        <f>H1736+'Lookup Tables'!$S$1</f>
        <v>0.46875</v>
      </c>
      <c r="J1736" s="11"/>
      <c r="K1736" s="11"/>
      <c r="N1736">
        <f>MAX(F1733:M1733)-O1736</f>
        <v>21</v>
      </c>
      <c r="O1736" t="str">
        <f>RIGHT(E1733,3)</f>
        <v>373</v>
      </c>
    </row>
    <row r="1737" spans="1:16" ht="15.75" customHeight="1" x14ac:dyDescent="0.35">
      <c r="B1737" s="20" t="s">
        <v>251</v>
      </c>
      <c r="C1737" s="27">
        <v>0.2</v>
      </c>
      <c r="D1737" s="27">
        <v>0.5</v>
      </c>
      <c r="E1737" s="27"/>
      <c r="F1737" s="27"/>
      <c r="G1737" s="27">
        <v>0.25</v>
      </c>
      <c r="H1737" s="27"/>
      <c r="I1737" s="27"/>
      <c r="N1737" t="str">
        <f xml:space="preserve">  N1736 &amp; " degrees this time"</f>
        <v>21 degrees this time</v>
      </c>
    </row>
    <row r="1738" spans="1:16" ht="15.75" customHeight="1" x14ac:dyDescent="0.35">
      <c r="B1738" s="20" t="s">
        <v>252</v>
      </c>
      <c r="C1738" s="27">
        <v>0.9</v>
      </c>
      <c r="D1738" s="27">
        <v>0.7</v>
      </c>
      <c r="E1738" s="27">
        <v>0.7</v>
      </c>
      <c r="F1738" s="27">
        <v>0.5</v>
      </c>
      <c r="G1738" s="27"/>
      <c r="H1738" s="27" t="s">
        <v>275</v>
      </c>
      <c r="I1738" s="27" t="s">
        <v>275</v>
      </c>
    </row>
    <row r="1739" spans="1:16" ht="15.75" customHeight="1" x14ac:dyDescent="0.35">
      <c r="B1739" s="20"/>
      <c r="D1739" s="11"/>
      <c r="E1739" s="40"/>
      <c r="F1739" s="11"/>
      <c r="G1739" s="11"/>
      <c r="K1739" s="32" t="s">
        <v>314</v>
      </c>
      <c r="L1739" s="9"/>
      <c r="M1739" s="9"/>
    </row>
    <row r="1740" spans="1:16" ht="15.75" customHeight="1" x14ac:dyDescent="0.35">
      <c r="B1740" s="38"/>
      <c r="D1740" s="15"/>
      <c r="F1740" s="13"/>
      <c r="G1740" s="1" t="s">
        <v>296</v>
      </c>
      <c r="K1740" s="32"/>
      <c r="L1740" s="9"/>
      <c r="M1740" s="9"/>
    </row>
    <row r="1741" spans="1:16" ht="15.75" customHeight="1" x14ac:dyDescent="0.35">
      <c r="B1741" s="20"/>
      <c r="G1741" s="1"/>
      <c r="H1741" s="1"/>
      <c r="K1741" s="9"/>
      <c r="L1741" s="9"/>
      <c r="M1741" s="9"/>
    </row>
    <row r="1742" spans="1:16" ht="15.75" customHeight="1" x14ac:dyDescent="0.35">
      <c r="B1742" s="20"/>
      <c r="G1742" s="1"/>
      <c r="H1742" s="1"/>
      <c r="K1742" s="9" t="s">
        <v>297</v>
      </c>
      <c r="L1742" s="9"/>
      <c r="M1742" s="9"/>
    </row>
    <row r="1743" spans="1:16" ht="15.75" customHeight="1" x14ac:dyDescent="0.35">
      <c r="B1743" s="9"/>
      <c r="C1743" s="9"/>
      <c r="D1743" s="9"/>
      <c r="E1743" s="9"/>
      <c r="F1743" s="12"/>
      <c r="G1743" s="12"/>
      <c r="H1743" s="12"/>
      <c r="I1743" s="12"/>
      <c r="J1743" s="12"/>
      <c r="K1743" s="12"/>
      <c r="L1743" s="1"/>
    </row>
    <row r="1744" spans="1:16" ht="15.75" customHeight="1" x14ac:dyDescent="0.35">
      <c r="B1744" s="13"/>
      <c r="C1744" s="13"/>
      <c r="D1744" s="15"/>
      <c r="H1744" s="14" t="s">
        <v>255</v>
      </c>
    </row>
    <row r="1745" spans="1:16" x14ac:dyDescent="0.35">
      <c r="B1745" s="13" t="s">
        <v>5</v>
      </c>
      <c r="C1745" s="13" t="s">
        <v>1</v>
      </c>
      <c r="D1745" s="15" t="str">
        <f>VLOOKUP(A1746,Inventory!$A$4:$K$1139,7)</f>
        <v>Burman Coffee</v>
      </c>
      <c r="F1745" s="13" t="s">
        <v>235</v>
      </c>
      <c r="G1745" s="16"/>
      <c r="H1745" s="14" t="s">
        <v>379</v>
      </c>
      <c r="L1745" s="17"/>
      <c r="M1745" s="17"/>
    </row>
    <row r="1746" spans="1:16" x14ac:dyDescent="0.35">
      <c r="A1746">
        <v>165</v>
      </c>
      <c r="B1746" s="5">
        <v>44831</v>
      </c>
      <c r="C1746" s="15" t="str">
        <f>VLOOKUP(A1746,Inventory!$A$4:$K$1139,2)</f>
        <v>Ethiopian Guji Natural - Shakiso 2020</v>
      </c>
      <c r="F1746" s="31" t="s">
        <v>291</v>
      </c>
      <c r="G1746" s="2" t="s">
        <v>286</v>
      </c>
      <c r="L1746" s="17"/>
      <c r="M1746" s="17"/>
      <c r="P1746" s="8"/>
    </row>
    <row r="1747" spans="1:16" x14ac:dyDescent="0.35">
      <c r="F1747" s="11"/>
      <c r="G1747" s="11"/>
      <c r="H1747" s="11"/>
      <c r="I1747" s="11"/>
      <c r="J1747" s="11"/>
      <c r="K1747" s="11"/>
      <c r="L1747" s="28"/>
      <c r="M1747" s="36"/>
    </row>
    <row r="1748" spans="1:16" x14ac:dyDescent="0.35">
      <c r="B1748" s="20"/>
      <c r="C1748" s="11" t="s">
        <v>240</v>
      </c>
      <c r="D1748" s="11" t="s">
        <v>272</v>
      </c>
      <c r="E1748" s="11">
        <v>366</v>
      </c>
      <c r="F1748" s="11">
        <v>376</v>
      </c>
      <c r="G1748" s="11">
        <v>386</v>
      </c>
      <c r="H1748" s="11">
        <v>394</v>
      </c>
      <c r="I1748" s="11"/>
      <c r="J1748" s="11"/>
      <c r="K1748" s="11"/>
      <c r="L1748" s="28"/>
    </row>
    <row r="1749" spans="1:16" ht="15.75" customHeight="1" x14ac:dyDescent="0.35">
      <c r="B1749" s="20" t="s">
        <v>242</v>
      </c>
      <c r="C1749" s="30"/>
      <c r="D1749" s="30"/>
      <c r="E1749" s="23" t="s">
        <v>244</v>
      </c>
      <c r="F1749" s="23" t="s">
        <v>245</v>
      </c>
      <c r="G1749" s="23" t="s">
        <v>246</v>
      </c>
      <c r="H1749" s="23" t="s">
        <v>247</v>
      </c>
      <c r="O1749" s="4"/>
    </row>
    <row r="1750" spans="1:16" ht="1" customHeight="1" x14ac:dyDescent="0.35">
      <c r="B1750" s="24" t="s">
        <v>249</v>
      </c>
      <c r="C1750" s="25"/>
      <c r="D1750" s="25"/>
      <c r="E1750" s="25"/>
      <c r="F1750" s="25"/>
      <c r="G1750" s="25"/>
      <c r="H1750" s="25"/>
      <c r="O1750" t="e">
        <f>(O1748-3*O1747)/O1749</f>
        <v>#DIV/0!</v>
      </c>
    </row>
    <row r="1751" spans="1:16" ht="15.75" customHeight="1" x14ac:dyDescent="0.35">
      <c r="B1751" s="20" t="s">
        <v>250</v>
      </c>
      <c r="C1751" s="26">
        <v>0.19444444444444445</v>
      </c>
      <c r="D1751" s="26">
        <v>0.28472222222222221</v>
      </c>
      <c r="E1751" s="26">
        <v>0.35416666666666669</v>
      </c>
      <c r="F1751" s="26">
        <f>E1751+'Lookup Tables'!$N$1</f>
        <v>0.375</v>
      </c>
      <c r="G1751" s="26">
        <f>F1751+'Lookup Tables'!$N$1</f>
        <v>0.39583333333333331</v>
      </c>
      <c r="H1751" s="26">
        <f>G1751+'Lookup Tables'!$N$1</f>
        <v>0.41666666666666663</v>
      </c>
      <c r="N1751">
        <f>MAX(F1748:M1748)-O1751</f>
        <v>28</v>
      </c>
      <c r="O1751" t="str">
        <f>RIGHT(E1748,3)</f>
        <v>366</v>
      </c>
    </row>
    <row r="1752" spans="1:16" ht="15.75" customHeight="1" x14ac:dyDescent="0.35">
      <c r="B1752" s="20" t="s">
        <v>251</v>
      </c>
      <c r="C1752" s="27">
        <v>0.2</v>
      </c>
      <c r="D1752" s="27">
        <v>0.5</v>
      </c>
      <c r="E1752" s="27"/>
      <c r="F1752" s="27"/>
      <c r="G1752" s="27"/>
      <c r="H1752" s="25"/>
      <c r="N1752" t="str">
        <f xml:space="preserve">  N1751 &amp; " degrees this time"</f>
        <v>28 degrees this time</v>
      </c>
    </row>
    <row r="1753" spans="1:16" ht="15.75" customHeight="1" x14ac:dyDescent="0.35">
      <c r="B1753" s="20" t="s">
        <v>252</v>
      </c>
      <c r="C1753" s="27">
        <v>0.9</v>
      </c>
      <c r="D1753" s="27">
        <v>0.9</v>
      </c>
      <c r="E1753" s="27">
        <v>0.8</v>
      </c>
      <c r="F1753" s="27">
        <v>0.5</v>
      </c>
      <c r="G1753" s="27"/>
      <c r="H1753" s="27" t="s">
        <v>275</v>
      </c>
    </row>
    <row r="1754" spans="1:16" ht="15.75" customHeight="1" x14ac:dyDescent="0.35">
      <c r="B1754" s="20"/>
      <c r="C1754" s="30"/>
      <c r="D1754" s="11"/>
      <c r="E1754" s="1"/>
      <c r="F1754" s="11"/>
      <c r="G1754" s="11"/>
      <c r="H1754" s="11"/>
      <c r="J1754" s="37"/>
      <c r="K1754" s="32" t="s">
        <v>388</v>
      </c>
      <c r="L1754" s="9"/>
      <c r="M1754" s="9"/>
    </row>
    <row r="1755" spans="1:16" ht="15.75" customHeight="1" x14ac:dyDescent="0.35">
      <c r="B1755" s="38"/>
      <c r="D1755" s="11"/>
      <c r="E1755" s="11"/>
      <c r="F1755" s="11"/>
      <c r="G1755" s="1" t="s">
        <v>404</v>
      </c>
      <c r="K1755" s="32" t="s">
        <v>390</v>
      </c>
      <c r="L1755" s="9"/>
      <c r="M1755" s="9"/>
    </row>
    <row r="1756" spans="1:16" ht="15.75" customHeight="1" x14ac:dyDescent="0.35">
      <c r="B1756" s="20"/>
      <c r="G1756" s="1"/>
      <c r="H1756" s="1"/>
      <c r="K1756" s="32"/>
      <c r="L1756" s="9"/>
      <c r="M1756" s="9"/>
    </row>
    <row r="1757" spans="1:16" ht="15.75" customHeight="1" x14ac:dyDescent="0.35">
      <c r="B1757" s="20"/>
      <c r="G1757" s="1"/>
      <c r="H1757" s="1"/>
      <c r="K1757" s="9" t="s">
        <v>254</v>
      </c>
      <c r="L1757" s="9"/>
      <c r="M1757" s="9"/>
    </row>
    <row r="1758" spans="1:16" ht="15.75" customHeight="1" x14ac:dyDescent="0.35">
      <c r="B1758" s="9"/>
      <c r="C1758" s="9"/>
      <c r="D1758" s="9"/>
      <c r="E1758" s="9"/>
      <c r="F1758" s="12"/>
      <c r="G1758" s="12"/>
      <c r="H1758" s="12"/>
      <c r="I1758" s="12"/>
      <c r="J1758" s="12"/>
      <c r="K1758" s="12"/>
      <c r="L1758" s="1"/>
    </row>
    <row r="1759" spans="1:16" ht="15.75" customHeight="1" x14ac:dyDescent="0.35">
      <c r="B1759" s="13"/>
      <c r="C1759" s="13"/>
      <c r="D1759" s="15"/>
      <c r="F1759" s="33" t="s">
        <v>278</v>
      </c>
    </row>
    <row r="1760" spans="1:16" x14ac:dyDescent="0.35">
      <c r="B1760" s="13" t="s">
        <v>5</v>
      </c>
      <c r="C1760" s="13" t="s">
        <v>1</v>
      </c>
      <c r="D1760" s="15" t="str">
        <f>VLOOKUP(A1761,Inventory!$A$4:$K$1139,7)</f>
        <v xml:space="preserve">Klatch                             </v>
      </c>
      <c r="F1760" s="13" t="s">
        <v>235</v>
      </c>
      <c r="G1760" s="16"/>
      <c r="L1760" s="17"/>
      <c r="M1760" s="17"/>
    </row>
    <row r="1761" spans="1:16" x14ac:dyDescent="0.35">
      <c r="A1761">
        <v>168</v>
      </c>
      <c r="B1761" s="5">
        <v>44812</v>
      </c>
      <c r="C1761" s="15" t="str">
        <f>VLOOKUP(A1761,Inventory!$A$4:$K$1139,2)</f>
        <v>Ethiopia Yirgacheffe BedHatu Washed 2021</v>
      </c>
      <c r="F1761" s="31" t="s">
        <v>291</v>
      </c>
      <c r="G1761" s="2" t="s">
        <v>286</v>
      </c>
      <c r="L1761" s="17"/>
      <c r="M1761" s="17"/>
      <c r="P1761" s="8"/>
    </row>
    <row r="1762" spans="1:16" x14ac:dyDescent="0.35">
      <c r="G1762" s="16"/>
      <c r="L1762" s="19"/>
      <c r="M1762" s="19"/>
    </row>
    <row r="1763" spans="1:16" x14ac:dyDescent="0.35">
      <c r="B1763" s="20"/>
      <c r="C1763" s="11" t="s">
        <v>240</v>
      </c>
      <c r="D1763" s="11" t="s">
        <v>241</v>
      </c>
      <c r="E1763" s="11">
        <v>366</v>
      </c>
      <c r="F1763" s="11">
        <v>373</v>
      </c>
      <c r="G1763" s="11">
        <v>379</v>
      </c>
      <c r="H1763" s="11">
        <v>386</v>
      </c>
      <c r="I1763" s="11">
        <v>390</v>
      </c>
      <c r="J1763" s="11">
        <v>393</v>
      </c>
      <c r="K1763" s="2" t="s">
        <v>322</v>
      </c>
      <c r="L1763" s="11"/>
    </row>
    <row r="1764" spans="1:16" ht="15.75" customHeight="1" x14ac:dyDescent="0.35">
      <c r="B1764" s="20" t="s">
        <v>242</v>
      </c>
      <c r="C1764" s="30"/>
      <c r="D1764" s="30"/>
      <c r="E1764" s="23" t="s">
        <v>244</v>
      </c>
      <c r="F1764" s="23" t="s">
        <v>245</v>
      </c>
      <c r="G1764" s="23" t="s">
        <v>246</v>
      </c>
      <c r="H1764" s="23" t="s">
        <v>247</v>
      </c>
      <c r="I1764" s="23" t="s">
        <v>248</v>
      </c>
      <c r="J1764" s="23" t="s">
        <v>259</v>
      </c>
      <c r="O1764" s="4"/>
    </row>
    <row r="1765" spans="1:16" ht="1" customHeight="1" x14ac:dyDescent="0.35">
      <c r="B1765" s="24" t="s">
        <v>249</v>
      </c>
      <c r="C1765" s="25"/>
      <c r="D1765" s="25"/>
      <c r="E1765" s="25"/>
      <c r="F1765" s="25"/>
      <c r="G1765" s="25"/>
      <c r="H1765" s="25"/>
      <c r="I1765" s="25"/>
      <c r="J1765" s="25"/>
      <c r="O1765" t="e">
        <f>(O1763-3*O1762)/O1764</f>
        <v>#DIV/0!</v>
      </c>
    </row>
    <row r="1766" spans="1:16" ht="15.75" customHeight="1" x14ac:dyDescent="0.35">
      <c r="B1766" s="20" t="s">
        <v>250</v>
      </c>
      <c r="C1766" s="26">
        <v>0.20138888888888887</v>
      </c>
      <c r="D1766" s="26">
        <v>0.27083333333333331</v>
      </c>
      <c r="E1766" s="26">
        <v>0.35416666666666669</v>
      </c>
      <c r="F1766" s="26">
        <f>E1766+'Lookup Tables'!$N$1</f>
        <v>0.375</v>
      </c>
      <c r="G1766" s="26">
        <f>F1766+'Lookup Tables'!$N$1</f>
        <v>0.39583333333333331</v>
      </c>
      <c r="H1766" s="26">
        <f>G1766+'Lookup Tables'!$N$1</f>
        <v>0.41666666666666663</v>
      </c>
      <c r="I1766" s="26">
        <f>H1766+'Lookup Tables'!$S$1</f>
        <v>0.42708333333333331</v>
      </c>
      <c r="J1766" s="26">
        <f>I1766+'Lookup Tables'!$S$1</f>
        <v>0.4375</v>
      </c>
      <c r="N1766">
        <f>MAX(F1763:M1763)-O1766</f>
        <v>27</v>
      </c>
      <c r="O1766" t="str">
        <f>RIGHT(E1763,3)</f>
        <v>366</v>
      </c>
    </row>
    <row r="1767" spans="1:16" ht="15.75" customHeight="1" x14ac:dyDescent="0.35">
      <c r="B1767" s="20" t="s">
        <v>251</v>
      </c>
      <c r="C1767" s="27">
        <v>0.2</v>
      </c>
      <c r="D1767" s="27">
        <v>0.5</v>
      </c>
      <c r="E1767" s="27"/>
      <c r="F1767" s="27"/>
      <c r="G1767" s="27"/>
      <c r="H1767" s="25"/>
      <c r="I1767" s="27"/>
      <c r="J1767" s="27"/>
      <c r="N1767" t="str">
        <f xml:space="preserve">  N1766 &amp; " degrees this time"</f>
        <v>27 degrees this time</v>
      </c>
    </row>
    <row r="1768" spans="1:16" ht="15.75" customHeight="1" x14ac:dyDescent="0.35">
      <c r="B1768" s="20" t="s">
        <v>252</v>
      </c>
      <c r="C1768" s="27">
        <v>0.9</v>
      </c>
      <c r="D1768" s="27">
        <v>0.8</v>
      </c>
      <c r="E1768" s="27"/>
      <c r="F1768" s="27"/>
      <c r="G1768" s="27">
        <v>0.3</v>
      </c>
      <c r="H1768" s="27"/>
      <c r="I1768" s="27" t="s">
        <v>275</v>
      </c>
      <c r="J1768" s="27" t="s">
        <v>275</v>
      </c>
    </row>
    <row r="1769" spans="1:16" ht="15.75" customHeight="1" x14ac:dyDescent="0.35">
      <c r="B1769" s="20"/>
      <c r="C1769" s="30"/>
      <c r="D1769" s="11"/>
      <c r="E1769" s="1"/>
      <c r="F1769" s="11"/>
      <c r="G1769" s="11"/>
      <c r="H1769" s="11"/>
    </row>
    <row r="1770" spans="1:16" ht="15.75" customHeight="1" x14ac:dyDescent="0.35">
      <c r="B1770" s="38"/>
      <c r="D1770" s="11"/>
      <c r="E1770" s="11"/>
      <c r="F1770" s="11"/>
      <c r="G1770" s="1" t="s">
        <v>292</v>
      </c>
      <c r="K1770" s="9" t="s">
        <v>293</v>
      </c>
      <c r="L1770" s="9"/>
      <c r="M1770" s="9"/>
    </row>
    <row r="1771" spans="1:16" ht="15.75" customHeight="1" x14ac:dyDescent="0.35">
      <c r="B1771" s="20"/>
      <c r="G1771" s="1"/>
      <c r="H1771" s="1"/>
      <c r="K1771" s="32" t="s">
        <v>405</v>
      </c>
      <c r="L1771" s="9"/>
      <c r="M1771" s="9"/>
    </row>
    <row r="1772" spans="1:16" ht="15.75" customHeight="1" x14ac:dyDescent="0.35">
      <c r="B1772" s="20"/>
      <c r="G1772" s="1"/>
      <c r="H1772" s="1"/>
      <c r="K1772" s="9" t="s">
        <v>254</v>
      </c>
      <c r="L1772" s="9"/>
      <c r="M1772" s="9"/>
    </row>
    <row r="1773" spans="1:16" ht="15.75" customHeight="1" x14ac:dyDescent="0.35">
      <c r="B1773" s="9"/>
      <c r="C1773" s="9"/>
      <c r="D1773" s="9"/>
      <c r="E1773" s="9"/>
      <c r="F1773" s="12"/>
      <c r="G1773" s="12"/>
      <c r="H1773" s="12"/>
      <c r="I1773" s="12"/>
      <c r="J1773" s="12"/>
      <c r="K1773" s="12"/>
      <c r="L1773" s="1"/>
    </row>
    <row r="1774" spans="1:16" ht="15.75" customHeight="1" x14ac:dyDescent="0.35">
      <c r="B1774" s="13"/>
      <c r="C1774" s="13"/>
      <c r="D1774" s="15"/>
      <c r="G1774" s="16"/>
      <c r="H1774" s="14" t="s">
        <v>255</v>
      </c>
      <c r="I1774" s="14"/>
      <c r="L1774" s="2"/>
    </row>
    <row r="1775" spans="1:16" x14ac:dyDescent="0.35">
      <c r="B1775" s="13" t="s">
        <v>5</v>
      </c>
      <c r="C1775" s="13" t="s">
        <v>1</v>
      </c>
      <c r="D1775" s="15" t="str">
        <f>VLOOKUP(A1776,Inventory!$A$4:$K$1139,7)</f>
        <v>Royal coffee</v>
      </c>
      <c r="F1775" s="13" t="s">
        <v>235</v>
      </c>
      <c r="G1775" s="16"/>
      <c r="L1775" s="17"/>
      <c r="M1775" s="17"/>
    </row>
    <row r="1776" spans="1:16" x14ac:dyDescent="0.35">
      <c r="A1776">
        <v>141</v>
      </c>
      <c r="B1776" s="5">
        <v>44812</v>
      </c>
      <c r="C1776" s="15" t="str">
        <f>VLOOKUP(A1776,Inventory!$A$4:$K$1139,2)</f>
        <v>Yemen Al-Haymah Rooftop Raised Bed Natural 2017</v>
      </c>
      <c r="F1776" s="31" t="s">
        <v>291</v>
      </c>
      <c r="G1776" s="2" t="s">
        <v>286</v>
      </c>
      <c r="L1776" s="17"/>
      <c r="M1776" s="17"/>
      <c r="P1776" s="8"/>
    </row>
    <row r="1777" spans="1:16" x14ac:dyDescent="0.35">
      <c r="B1777" t="s">
        <v>16</v>
      </c>
      <c r="G1777" s="16"/>
      <c r="K1777" s="2"/>
      <c r="L1777" s="19"/>
      <c r="M1777" s="19"/>
    </row>
    <row r="1778" spans="1:16" x14ac:dyDescent="0.35">
      <c r="B1778" s="20"/>
      <c r="C1778" s="11" t="s">
        <v>240</v>
      </c>
      <c r="D1778" s="11" t="s">
        <v>272</v>
      </c>
      <c r="E1778" s="11">
        <v>369</v>
      </c>
      <c r="F1778" s="11"/>
      <c r="G1778" s="11"/>
      <c r="H1778" s="11"/>
      <c r="I1778" s="11">
        <v>390</v>
      </c>
      <c r="J1778" s="11"/>
      <c r="K1778" s="11"/>
      <c r="L1778" s="11"/>
    </row>
    <row r="1779" spans="1:16" ht="15.75" customHeight="1" x14ac:dyDescent="0.35">
      <c r="B1779" s="20" t="s">
        <v>242</v>
      </c>
      <c r="C1779" s="21"/>
      <c r="D1779" s="22" t="s">
        <v>294</v>
      </c>
      <c r="E1779" s="23" t="s">
        <v>244</v>
      </c>
      <c r="F1779" s="23" t="s">
        <v>245</v>
      </c>
      <c r="G1779" s="23" t="s">
        <v>246</v>
      </c>
      <c r="H1779" s="23" t="s">
        <v>273</v>
      </c>
      <c r="I1779" s="23" t="s">
        <v>247</v>
      </c>
      <c r="O1779" s="4"/>
    </row>
    <row r="1780" spans="1:16" ht="1" customHeight="1" x14ac:dyDescent="0.35">
      <c r="B1780" s="24" t="s">
        <v>249</v>
      </c>
      <c r="C1780" s="25">
        <v>320</v>
      </c>
      <c r="D1780" s="25">
        <v>350</v>
      </c>
      <c r="E1780" s="25"/>
      <c r="F1780" s="25"/>
      <c r="G1780" s="25"/>
      <c r="H1780" s="23" t="s">
        <v>247</v>
      </c>
      <c r="I1780" s="25"/>
      <c r="O1780" t="e">
        <f>(O1778-3*O1777)/O1779</f>
        <v>#DIV/0!</v>
      </c>
    </row>
    <row r="1781" spans="1:16" ht="15.75" customHeight="1" x14ac:dyDescent="0.35">
      <c r="B1781" s="20" t="s">
        <v>250</v>
      </c>
      <c r="C1781" s="26">
        <v>0.15972222222222224</v>
      </c>
      <c r="D1781" s="26">
        <v>0.25</v>
      </c>
      <c r="E1781" s="26">
        <v>0.3263888888888889</v>
      </c>
      <c r="F1781" s="26">
        <f>E1781+'Lookup Tables'!$N$1</f>
        <v>0.34722222222222221</v>
      </c>
      <c r="G1781" s="26">
        <f>F1781+'Lookup Tables'!$N$1</f>
        <v>0.36805555555555552</v>
      </c>
      <c r="H1781" s="26">
        <f>G1781+'Lookup Tables'!$S$1</f>
        <v>0.37847222222222221</v>
      </c>
      <c r="I1781" s="26">
        <f>H1781+'Lookup Tables'!$S$1</f>
        <v>0.3888888888888889</v>
      </c>
      <c r="N1781">
        <f>MAX(F1778:M1778)-O1781</f>
        <v>21</v>
      </c>
      <c r="O1781" t="str">
        <f>RIGHT(E1778,3)</f>
        <v>369</v>
      </c>
    </row>
    <row r="1782" spans="1:16" ht="15.75" customHeight="1" x14ac:dyDescent="0.35">
      <c r="B1782" s="20" t="s">
        <v>251</v>
      </c>
      <c r="C1782" s="27">
        <v>0.2</v>
      </c>
      <c r="D1782" s="27">
        <v>0.5</v>
      </c>
      <c r="E1782" s="27"/>
      <c r="F1782" s="27"/>
      <c r="G1782" s="27">
        <v>0.25</v>
      </c>
      <c r="H1782" s="27"/>
      <c r="I1782" s="27"/>
      <c r="N1782" t="str">
        <f xml:space="preserve">  N1781 &amp; " degrees this time"</f>
        <v>21 degrees this time</v>
      </c>
    </row>
    <row r="1783" spans="1:16" ht="15.75" customHeight="1" x14ac:dyDescent="0.35">
      <c r="B1783" s="20" t="s">
        <v>252</v>
      </c>
      <c r="C1783" s="27">
        <v>0.9</v>
      </c>
      <c r="D1783" s="27">
        <v>0.7</v>
      </c>
      <c r="E1783" s="27">
        <v>0.6</v>
      </c>
      <c r="F1783" s="27"/>
      <c r="G1783" s="27"/>
      <c r="H1783" s="27"/>
      <c r="I1783" s="27" t="s">
        <v>275</v>
      </c>
    </row>
    <row r="1784" spans="1:16" ht="15.75" customHeight="1" x14ac:dyDescent="0.35">
      <c r="B1784" s="20"/>
      <c r="D1784" s="11"/>
      <c r="E1784" s="40"/>
      <c r="F1784" s="11"/>
      <c r="G1784" s="11"/>
    </row>
    <row r="1785" spans="1:16" ht="15.75" customHeight="1" x14ac:dyDescent="0.35">
      <c r="B1785" s="14" t="s">
        <v>406</v>
      </c>
      <c r="D1785" s="15"/>
      <c r="F1785" s="13"/>
      <c r="G1785" s="1" t="s">
        <v>296</v>
      </c>
      <c r="K1785" s="32" t="s">
        <v>377</v>
      </c>
      <c r="L1785" s="9"/>
      <c r="M1785" s="9"/>
    </row>
    <row r="1786" spans="1:16" ht="15.75" customHeight="1" x14ac:dyDescent="0.35">
      <c r="B1786" s="14" t="s">
        <v>407</v>
      </c>
      <c r="G1786" s="1"/>
      <c r="H1786" s="1"/>
      <c r="K1786" s="9"/>
      <c r="L1786" s="9"/>
      <c r="M1786" s="9"/>
    </row>
    <row r="1787" spans="1:16" ht="15.75" customHeight="1" x14ac:dyDescent="0.35">
      <c r="B1787" s="20"/>
      <c r="G1787" s="1"/>
      <c r="H1787" s="1"/>
      <c r="K1787" s="9" t="s">
        <v>297</v>
      </c>
      <c r="L1787" s="9"/>
      <c r="M1787" s="9"/>
    </row>
    <row r="1788" spans="1:16" ht="15.75" customHeight="1" x14ac:dyDescent="0.35">
      <c r="B1788" s="9"/>
      <c r="C1788" s="9"/>
      <c r="D1788" s="9"/>
      <c r="E1788" s="9"/>
      <c r="F1788" s="12"/>
      <c r="G1788" s="12"/>
      <c r="H1788" s="12"/>
      <c r="I1788" s="12"/>
      <c r="J1788" s="12"/>
      <c r="K1788" s="12"/>
      <c r="L1788" s="1"/>
    </row>
    <row r="1789" spans="1:16" ht="15.75" customHeight="1" x14ac:dyDescent="0.35">
      <c r="B1789" s="13"/>
      <c r="C1789" s="13"/>
      <c r="D1789" s="15"/>
      <c r="H1789" s="14" t="s">
        <v>255</v>
      </c>
    </row>
    <row r="1790" spans="1:16" x14ac:dyDescent="0.35">
      <c r="B1790" s="13" t="s">
        <v>5</v>
      </c>
      <c r="C1790" s="13" t="s">
        <v>1</v>
      </c>
      <c r="D1790" s="15" t="str">
        <f>VLOOKUP(A1791,Inventory!$A$4:$K$1139,7)</f>
        <v xml:space="preserve">Sweet Marias                       </v>
      </c>
      <c r="F1790" s="13" t="s">
        <v>235</v>
      </c>
      <c r="G1790" s="16"/>
      <c r="L1790" s="17"/>
      <c r="M1790" s="17"/>
    </row>
    <row r="1791" spans="1:16" x14ac:dyDescent="0.35">
      <c r="A1791">
        <v>158</v>
      </c>
      <c r="B1791" s="5">
        <v>44812</v>
      </c>
      <c r="C1791" s="15" t="str">
        <f>VLOOKUP(A1791,Inventory!$A$4:$K$1139,2)</f>
        <v>Ethiopia Organic Sidama Keramo 2020</v>
      </c>
      <c r="E1791" s="11"/>
      <c r="F1791" s="31" t="s">
        <v>291</v>
      </c>
      <c r="G1791" s="2" t="s">
        <v>286</v>
      </c>
      <c r="L1791" s="17"/>
      <c r="M1791" s="17"/>
      <c r="P1791" s="8"/>
    </row>
    <row r="1792" spans="1:16" x14ac:dyDescent="0.35">
      <c r="D1792" s="11"/>
      <c r="E1792" s="11"/>
      <c r="G1792" s="16"/>
      <c r="K1792" s="2"/>
      <c r="L1792" s="19"/>
      <c r="M1792" s="19"/>
    </row>
    <row r="1793" spans="1:16" x14ac:dyDescent="0.35">
      <c r="B1793" s="20"/>
      <c r="C1793" s="11" t="s">
        <v>240</v>
      </c>
      <c r="D1793" s="11" t="s">
        <v>272</v>
      </c>
      <c r="E1793" s="11">
        <v>361</v>
      </c>
      <c r="F1793" s="11">
        <v>368</v>
      </c>
      <c r="G1793" s="11">
        <v>374</v>
      </c>
      <c r="H1793" s="11">
        <v>382</v>
      </c>
      <c r="I1793" s="11"/>
      <c r="J1793" s="11"/>
      <c r="K1793" s="11"/>
      <c r="L1793" s="11"/>
    </row>
    <row r="1794" spans="1:16" ht="15.75" customHeight="1" x14ac:dyDescent="0.35">
      <c r="B1794" s="20" t="s">
        <v>242</v>
      </c>
      <c r="C1794" s="30"/>
      <c r="D1794" s="30"/>
      <c r="E1794" s="23" t="s">
        <v>244</v>
      </c>
      <c r="F1794" s="23" t="s">
        <v>245</v>
      </c>
      <c r="G1794" s="23" t="s">
        <v>246</v>
      </c>
      <c r="H1794" s="23" t="s">
        <v>247</v>
      </c>
      <c r="O1794" s="4"/>
    </row>
    <row r="1795" spans="1:16" ht="1" customHeight="1" x14ac:dyDescent="0.35">
      <c r="B1795" s="24" t="s">
        <v>249</v>
      </c>
      <c r="C1795" s="25"/>
      <c r="D1795" s="25"/>
      <c r="E1795" s="25"/>
      <c r="F1795" s="25"/>
      <c r="G1795" s="25"/>
      <c r="H1795" s="25"/>
      <c r="O1795" t="e">
        <f>(O1793-3*O1792)/O1794</f>
        <v>#DIV/0!</v>
      </c>
    </row>
    <row r="1796" spans="1:16" ht="15.75" customHeight="1" x14ac:dyDescent="0.35">
      <c r="B1796" s="20" t="s">
        <v>250</v>
      </c>
      <c r="C1796" s="26">
        <v>0.17013888888888887</v>
      </c>
      <c r="D1796" s="26">
        <v>0.24652777777777779</v>
      </c>
      <c r="E1796" s="26">
        <v>0.31944444444444448</v>
      </c>
      <c r="F1796" s="26">
        <f>E1796+'Lookup Tables'!$N$1</f>
        <v>0.34027777777777779</v>
      </c>
      <c r="G1796" s="26">
        <f>F1796+'Lookup Tables'!$N$1</f>
        <v>0.3611111111111111</v>
      </c>
      <c r="H1796" s="26">
        <f>G1796+'Lookup Tables'!$N$1</f>
        <v>0.38194444444444442</v>
      </c>
      <c r="N1796">
        <f>MAX(F1793:M1793)-O1796</f>
        <v>21</v>
      </c>
      <c r="O1796" t="str">
        <f>RIGHT(E1793,3)</f>
        <v>361</v>
      </c>
    </row>
    <row r="1797" spans="1:16" ht="15.75" customHeight="1" x14ac:dyDescent="0.35">
      <c r="B1797" s="20" t="s">
        <v>251</v>
      </c>
      <c r="C1797" s="27">
        <v>0.2</v>
      </c>
      <c r="D1797" s="27">
        <v>0.5</v>
      </c>
      <c r="E1797" s="27"/>
      <c r="F1797" s="27"/>
      <c r="G1797" s="27"/>
      <c r="H1797" s="27"/>
      <c r="N1797" t="str">
        <f xml:space="preserve">  N1796 &amp; " degrees this time"</f>
        <v>21 degrees this time</v>
      </c>
    </row>
    <row r="1798" spans="1:16" ht="15.75" customHeight="1" x14ac:dyDescent="0.35">
      <c r="B1798" s="20" t="s">
        <v>252</v>
      </c>
      <c r="C1798" s="27">
        <v>0.9</v>
      </c>
      <c r="D1798" s="27">
        <v>0.8</v>
      </c>
      <c r="E1798" s="27"/>
      <c r="F1798" s="27">
        <v>0.5</v>
      </c>
      <c r="G1798" s="27" t="s">
        <v>274</v>
      </c>
      <c r="H1798" s="27" t="s">
        <v>275</v>
      </c>
    </row>
    <row r="1799" spans="1:16" ht="15.75" customHeight="1" x14ac:dyDescent="0.35">
      <c r="B1799" s="20"/>
      <c r="F1799" s="1"/>
    </row>
    <row r="1800" spans="1:16" ht="15.75" customHeight="1" x14ac:dyDescent="0.35">
      <c r="B1800" s="32" t="s">
        <v>408</v>
      </c>
      <c r="C1800" s="9"/>
      <c r="D1800" s="9"/>
      <c r="G1800" s="1" t="s">
        <v>351</v>
      </c>
      <c r="K1800" s="32" t="s">
        <v>369</v>
      </c>
      <c r="L1800" s="9"/>
      <c r="M1800" s="9"/>
    </row>
    <row r="1801" spans="1:16" ht="15.75" customHeight="1" x14ac:dyDescent="0.35">
      <c r="B1801" s="20"/>
      <c r="G1801" s="1"/>
      <c r="H1801" s="1"/>
      <c r="K1801" s="32"/>
      <c r="L1801" s="9"/>
      <c r="M1801" s="9"/>
    </row>
    <row r="1802" spans="1:16" ht="15.75" customHeight="1" x14ac:dyDescent="0.35">
      <c r="B1802" s="20"/>
      <c r="G1802" s="1"/>
      <c r="H1802" s="1"/>
      <c r="K1802" s="9" t="s">
        <v>300</v>
      </c>
      <c r="L1802" s="9"/>
      <c r="M1802" s="9"/>
    </row>
    <row r="1803" spans="1:16" ht="15.75" customHeight="1" x14ac:dyDescent="0.35">
      <c r="B1803" s="9"/>
      <c r="C1803" s="9"/>
      <c r="D1803" s="9"/>
      <c r="E1803" s="9"/>
      <c r="F1803" s="12"/>
      <c r="G1803" s="12"/>
      <c r="H1803" s="12"/>
      <c r="I1803" s="12"/>
      <c r="J1803" s="12"/>
      <c r="K1803" s="12"/>
      <c r="L1803" s="1"/>
    </row>
    <row r="1804" spans="1:16" ht="15.75" customHeight="1" x14ac:dyDescent="0.35">
      <c r="B1804" s="13"/>
      <c r="C1804" s="13"/>
      <c r="D1804" s="15"/>
      <c r="F1804" s="33" t="s">
        <v>298</v>
      </c>
      <c r="G1804" s="15"/>
      <c r="H1804" s="14" t="s">
        <v>255</v>
      </c>
      <c r="I1804" s="1"/>
      <c r="J1804" s="2"/>
      <c r="K1804" s="2"/>
      <c r="L1804" s="8"/>
    </row>
    <row r="1805" spans="1:16" x14ac:dyDescent="0.35">
      <c r="B1805" s="13" t="s">
        <v>5</v>
      </c>
      <c r="C1805" s="13" t="s">
        <v>1</v>
      </c>
      <c r="D1805" s="15" t="str">
        <f>VLOOKUP(A1806,Inventory!$A$4:$K$1139,7)</f>
        <v xml:space="preserve">Klatch                             </v>
      </c>
      <c r="F1805" s="13" t="s">
        <v>235</v>
      </c>
      <c r="G1805" s="16"/>
      <c r="L1805" s="8"/>
      <c r="M1805" s="17"/>
    </row>
    <row r="1806" spans="1:16" x14ac:dyDescent="0.35">
      <c r="A1806">
        <v>167</v>
      </c>
      <c r="B1806" s="5">
        <v>44785</v>
      </c>
      <c r="C1806" s="15" t="str">
        <f>VLOOKUP(A1806,Inventory!$A$4:$K$1139,2)</f>
        <v>Uganda Sipi Falls Organic 2020</v>
      </c>
      <c r="E1806" s="11"/>
      <c r="F1806" s="31" t="s">
        <v>291</v>
      </c>
      <c r="G1806" s="2" t="s">
        <v>286</v>
      </c>
      <c r="M1806" s="17"/>
      <c r="P1806" s="8"/>
    </row>
    <row r="1807" spans="1:16" x14ac:dyDescent="0.35">
      <c r="D1807" s="11"/>
      <c r="E1807" s="11"/>
      <c r="G1807" s="16"/>
      <c r="L1807" s="19"/>
      <c r="M1807" s="19"/>
    </row>
    <row r="1808" spans="1:16" x14ac:dyDescent="0.35">
      <c r="B1808" s="20"/>
      <c r="C1808" s="11" t="s">
        <v>240</v>
      </c>
      <c r="D1808" s="11" t="s">
        <v>241</v>
      </c>
      <c r="E1808" s="11">
        <v>366</v>
      </c>
      <c r="F1808" s="11">
        <v>374</v>
      </c>
      <c r="G1808" s="11">
        <v>381</v>
      </c>
      <c r="H1808" s="11">
        <v>388</v>
      </c>
      <c r="I1808" s="11">
        <v>396</v>
      </c>
      <c r="J1808" s="11"/>
      <c r="K1808" s="11"/>
      <c r="L1808" s="11"/>
    </row>
    <row r="1809" spans="1:16" ht="15.75" customHeight="1" x14ac:dyDescent="0.35">
      <c r="B1809" s="20" t="s">
        <v>242</v>
      </c>
      <c r="C1809" s="30"/>
      <c r="D1809" s="30"/>
      <c r="E1809" s="23" t="s">
        <v>244</v>
      </c>
      <c r="F1809" s="23" t="s">
        <v>245</v>
      </c>
      <c r="G1809" s="23" t="s">
        <v>246</v>
      </c>
      <c r="H1809" s="23" t="s">
        <v>247</v>
      </c>
      <c r="I1809" s="23" t="s">
        <v>259</v>
      </c>
      <c r="O1809" s="4"/>
    </row>
    <row r="1810" spans="1:16" ht="1" customHeight="1" x14ac:dyDescent="0.35">
      <c r="B1810" s="24" t="s">
        <v>249</v>
      </c>
      <c r="C1810" s="25"/>
      <c r="D1810" s="25"/>
      <c r="E1810" s="25"/>
      <c r="F1810" s="25"/>
      <c r="G1810" s="25"/>
      <c r="H1810" s="25"/>
      <c r="I1810" s="25"/>
      <c r="O1810" t="e">
        <f>(O1808-3*O1807)/O1809</f>
        <v>#DIV/0!</v>
      </c>
    </row>
    <row r="1811" spans="1:16" ht="15.75" customHeight="1" x14ac:dyDescent="0.35">
      <c r="B1811" s="20" t="s">
        <v>250</v>
      </c>
      <c r="C1811" s="26">
        <v>0.19444444444444445</v>
      </c>
      <c r="D1811" s="26">
        <v>0.27430555555555552</v>
      </c>
      <c r="E1811" s="26">
        <v>0.3611111111111111</v>
      </c>
      <c r="F1811" s="26">
        <f>E1811+'Lookup Tables'!$N$1</f>
        <v>0.38194444444444442</v>
      </c>
      <c r="G1811" s="26">
        <f>F1811+'Lookup Tables'!$N$1</f>
        <v>0.40277777777777773</v>
      </c>
      <c r="H1811" s="26">
        <f>G1811+'Lookup Tables'!$N$1</f>
        <v>0.42361111111111105</v>
      </c>
      <c r="I1811" s="26">
        <f>H1811+'Lookup Tables'!$N$1</f>
        <v>0.44444444444444436</v>
      </c>
      <c r="N1811">
        <f>MAX(F1808:M1808)-O1811</f>
        <v>30</v>
      </c>
      <c r="O1811" t="str">
        <f>RIGHT(E1808,3)</f>
        <v>366</v>
      </c>
    </row>
    <row r="1812" spans="1:16" ht="15.75" customHeight="1" x14ac:dyDescent="0.35">
      <c r="B1812" s="20" t="s">
        <v>251</v>
      </c>
      <c r="C1812" s="27">
        <v>0.2</v>
      </c>
      <c r="D1812" s="27">
        <v>0.5</v>
      </c>
      <c r="E1812" s="27"/>
      <c r="F1812" s="27"/>
      <c r="G1812" s="27" t="s">
        <v>274</v>
      </c>
      <c r="H1812" s="25"/>
      <c r="I1812" s="27"/>
      <c r="N1812" t="str">
        <f xml:space="preserve">  N1811 &amp; " degrees this time"</f>
        <v>30 degrees this time</v>
      </c>
    </row>
    <row r="1813" spans="1:16" ht="15.75" customHeight="1" x14ac:dyDescent="0.35">
      <c r="B1813" s="20" t="s">
        <v>252</v>
      </c>
      <c r="C1813" s="27">
        <v>0.9</v>
      </c>
      <c r="D1813" s="27">
        <v>0.8</v>
      </c>
      <c r="E1813" s="27">
        <v>0.6</v>
      </c>
      <c r="F1813" s="27">
        <v>0.4</v>
      </c>
      <c r="G1813" s="27" t="s">
        <v>274</v>
      </c>
      <c r="H1813" s="27"/>
      <c r="I1813" s="27" t="s">
        <v>275</v>
      </c>
    </row>
    <row r="1814" spans="1:16" ht="15.75" customHeight="1" x14ac:dyDescent="0.35">
      <c r="B1814" s="20"/>
      <c r="D1814" s="11"/>
      <c r="E1814" s="11"/>
      <c r="F1814" s="11"/>
      <c r="H1814" s="35"/>
    </row>
    <row r="1815" spans="1:16" ht="15.75" customHeight="1" x14ac:dyDescent="0.35">
      <c r="B1815" s="20"/>
      <c r="G1815" s="1" t="s">
        <v>304</v>
      </c>
      <c r="K1815" s="32"/>
      <c r="L1815" s="9"/>
      <c r="M1815" s="9"/>
    </row>
    <row r="1816" spans="1:16" ht="15.75" customHeight="1" x14ac:dyDescent="0.35">
      <c r="B1816" s="20"/>
      <c r="G1816" s="1"/>
      <c r="H1816" s="1"/>
      <c r="K1816" s="32"/>
      <c r="L1816" s="9"/>
      <c r="M1816" s="9"/>
    </row>
    <row r="1817" spans="1:16" ht="15.75" customHeight="1" x14ac:dyDescent="0.35">
      <c r="B1817" s="20"/>
      <c r="G1817" s="1"/>
      <c r="H1817" s="1"/>
      <c r="K1817" s="9" t="s">
        <v>300</v>
      </c>
      <c r="L1817" s="9"/>
      <c r="M1817" s="9"/>
    </row>
    <row r="1818" spans="1:16" ht="15.75" customHeight="1" x14ac:dyDescent="0.35">
      <c r="B1818" s="9"/>
      <c r="C1818" s="9"/>
      <c r="D1818" s="9"/>
      <c r="E1818" s="9"/>
      <c r="F1818" s="12"/>
      <c r="G1818" s="12"/>
      <c r="H1818" s="12"/>
      <c r="I1818" s="12"/>
      <c r="J1818" s="12"/>
      <c r="K1818" s="12"/>
      <c r="L1818" s="1"/>
    </row>
    <row r="1819" spans="1:16" ht="15.75" customHeight="1" x14ac:dyDescent="0.35">
      <c r="B1819" s="13"/>
      <c r="C1819" s="13"/>
      <c r="D1819" s="13"/>
      <c r="E1819" s="13"/>
      <c r="F1819" s="13"/>
      <c r="G1819" s="13"/>
      <c r="I1819" s="13"/>
    </row>
    <row r="1820" spans="1:16" x14ac:dyDescent="0.35">
      <c r="B1820" s="13" t="s">
        <v>5</v>
      </c>
      <c r="C1820" s="13" t="s">
        <v>1</v>
      </c>
      <c r="D1820" s="15" t="str">
        <f>VLOOKUP(A1821,Inventory!$A$4:$K$1139,7)</f>
        <v xml:space="preserve">Klatch                             </v>
      </c>
      <c r="F1820" s="13" t="s">
        <v>235</v>
      </c>
      <c r="G1820" s="16"/>
      <c r="L1820" s="17"/>
      <c r="M1820" s="17"/>
    </row>
    <row r="1821" spans="1:16" x14ac:dyDescent="0.35">
      <c r="A1821">
        <v>161</v>
      </c>
      <c r="B1821" s="5">
        <v>44785</v>
      </c>
      <c r="C1821" s="15" t="str">
        <f>VLOOKUP(A1821,Inventory!$A$4:$K$1139,2)</f>
        <v>Colombia Nariño Organic 2020</v>
      </c>
      <c r="E1821" s="11"/>
      <c r="F1821" s="34" t="s">
        <v>279</v>
      </c>
      <c r="G1821" s="2" t="s">
        <v>286</v>
      </c>
      <c r="L1821" s="17"/>
      <c r="M1821" s="17"/>
      <c r="P1821" s="8"/>
    </row>
    <row r="1822" spans="1:16" x14ac:dyDescent="0.35">
      <c r="D1822" s="11"/>
      <c r="E1822" s="11"/>
      <c r="G1822" s="16"/>
      <c r="L1822" s="19"/>
      <c r="M1822" s="19"/>
    </row>
    <row r="1823" spans="1:16" x14ac:dyDescent="0.35">
      <c r="B1823" s="20"/>
      <c r="C1823" s="11" t="s">
        <v>240</v>
      </c>
      <c r="D1823" s="11" t="s">
        <v>272</v>
      </c>
      <c r="E1823" s="11">
        <v>366</v>
      </c>
      <c r="F1823" s="11">
        <v>375</v>
      </c>
      <c r="G1823" s="11">
        <v>381</v>
      </c>
      <c r="H1823" s="11">
        <v>389</v>
      </c>
      <c r="I1823" s="11">
        <v>395</v>
      </c>
      <c r="J1823" s="11" t="s">
        <v>370</v>
      </c>
      <c r="K1823" s="11"/>
      <c r="L1823" s="11"/>
    </row>
    <row r="1824" spans="1:16" ht="15.75" customHeight="1" x14ac:dyDescent="0.35">
      <c r="B1824" s="20" t="s">
        <v>242</v>
      </c>
      <c r="C1824" s="21"/>
      <c r="D1824" s="22" t="s">
        <v>294</v>
      </c>
      <c r="E1824" s="23" t="s">
        <v>244</v>
      </c>
      <c r="F1824" s="23" t="s">
        <v>245</v>
      </c>
      <c r="G1824" s="23" t="s">
        <v>246</v>
      </c>
      <c r="H1824" s="23" t="s">
        <v>247</v>
      </c>
      <c r="I1824" s="23" t="s">
        <v>248</v>
      </c>
      <c r="O1824" s="4"/>
    </row>
    <row r="1825" spans="1:16" ht="1" customHeight="1" x14ac:dyDescent="0.35">
      <c r="B1825" s="24" t="s">
        <v>249</v>
      </c>
      <c r="C1825" s="25"/>
      <c r="D1825" s="25"/>
      <c r="E1825" s="25"/>
      <c r="F1825" s="25"/>
      <c r="G1825" s="25"/>
      <c r="H1825" s="25"/>
      <c r="I1825" s="25"/>
      <c r="O1825" t="e">
        <f>(O1823-3*O1822)/O1824</f>
        <v>#DIV/0!</v>
      </c>
    </row>
    <row r="1826" spans="1:16" ht="15.75" customHeight="1" x14ac:dyDescent="0.35">
      <c r="B1826" s="20" t="s">
        <v>250</v>
      </c>
      <c r="C1826" s="26">
        <v>0.20833333333333334</v>
      </c>
      <c r="D1826" s="26">
        <v>0.28819444444444448</v>
      </c>
      <c r="E1826" s="26">
        <v>0.35416666666666669</v>
      </c>
      <c r="F1826" s="26">
        <f>E1826+'Lookup Tables'!$N$1</f>
        <v>0.375</v>
      </c>
      <c r="G1826" s="26">
        <f>F1826+'Lookup Tables'!$N$1</f>
        <v>0.39583333333333331</v>
      </c>
      <c r="H1826" s="26">
        <f>G1826+'Lookup Tables'!$N$1</f>
        <v>0.41666666666666663</v>
      </c>
      <c r="I1826" s="26">
        <f>H1826+'Lookup Tables'!$S$1</f>
        <v>0.42708333333333331</v>
      </c>
      <c r="N1826">
        <f>MAX(F1823:M1823)-O1826</f>
        <v>29</v>
      </c>
      <c r="O1826" t="str">
        <f>RIGHT(E1823,3)</f>
        <v>366</v>
      </c>
    </row>
    <row r="1827" spans="1:16" ht="15.75" customHeight="1" x14ac:dyDescent="0.35">
      <c r="B1827" s="20" t="s">
        <v>251</v>
      </c>
      <c r="C1827" s="27">
        <v>0.2</v>
      </c>
      <c r="D1827" s="27">
        <v>0.5</v>
      </c>
      <c r="E1827" s="27"/>
      <c r="F1827" s="27"/>
      <c r="G1827" s="27"/>
      <c r="H1827" s="27"/>
      <c r="I1827" s="25"/>
      <c r="N1827" t="str">
        <f xml:space="preserve">  N1826 &amp; " degrees this time"</f>
        <v>29 degrees this time</v>
      </c>
    </row>
    <row r="1828" spans="1:16" ht="15.75" customHeight="1" x14ac:dyDescent="0.35">
      <c r="B1828" s="20" t="s">
        <v>252</v>
      </c>
      <c r="C1828" s="27">
        <v>0.9</v>
      </c>
      <c r="D1828" s="27">
        <v>0.8</v>
      </c>
      <c r="E1828" s="27">
        <v>0.7</v>
      </c>
      <c r="F1828" s="27"/>
      <c r="G1828" s="27">
        <v>0.5</v>
      </c>
      <c r="H1828" s="27"/>
      <c r="I1828" s="27" t="s">
        <v>275</v>
      </c>
    </row>
    <row r="1829" spans="1:16" ht="15.75" customHeight="1" x14ac:dyDescent="0.35">
      <c r="B1829" s="20"/>
      <c r="D1829" s="11"/>
      <c r="E1829" s="11"/>
      <c r="F1829" s="11"/>
      <c r="G1829" s="40" t="s">
        <v>409</v>
      </c>
      <c r="H1829" s="35"/>
    </row>
    <row r="1830" spans="1:16" ht="15.75" customHeight="1" x14ac:dyDescent="0.35">
      <c r="B1830" s="20"/>
      <c r="G1830" s="1" t="s">
        <v>331</v>
      </c>
      <c r="K1830" s="32" t="s">
        <v>332</v>
      </c>
      <c r="L1830" s="9"/>
      <c r="M1830" s="9"/>
    </row>
    <row r="1831" spans="1:16" ht="15.75" customHeight="1" x14ac:dyDescent="0.35">
      <c r="B1831" s="30"/>
      <c r="G1831" s="1"/>
      <c r="H1831" s="1"/>
      <c r="K1831" s="32" t="s">
        <v>391</v>
      </c>
      <c r="L1831" s="9"/>
      <c r="M1831" s="9"/>
    </row>
    <row r="1832" spans="1:16" ht="15.75" customHeight="1" x14ac:dyDescent="0.35">
      <c r="B1832" s="30"/>
      <c r="G1832" s="1"/>
      <c r="H1832" s="1"/>
      <c r="K1832" s="9" t="s">
        <v>300</v>
      </c>
      <c r="L1832" s="9"/>
      <c r="M1832" s="9"/>
    </row>
    <row r="1833" spans="1:16" ht="15.75" customHeight="1" x14ac:dyDescent="0.35">
      <c r="B1833" s="9"/>
      <c r="C1833" s="9"/>
      <c r="D1833" s="9"/>
      <c r="E1833" s="9"/>
      <c r="F1833" s="12"/>
      <c r="G1833" s="12"/>
      <c r="H1833" s="12"/>
      <c r="I1833" s="12"/>
      <c r="J1833" s="12"/>
      <c r="K1833" s="12"/>
      <c r="L1833" s="1"/>
    </row>
    <row r="1834" spans="1:16" ht="15.75" customHeight="1" x14ac:dyDescent="0.35">
      <c r="B1834" s="13"/>
      <c r="C1834" s="13"/>
      <c r="D1834" s="15"/>
      <c r="G1834" s="13"/>
      <c r="H1834" s="14" t="s">
        <v>255</v>
      </c>
      <c r="I1834" s="13"/>
      <c r="J1834" s="1"/>
    </row>
    <row r="1835" spans="1:16" x14ac:dyDescent="0.35">
      <c r="B1835" s="13" t="s">
        <v>5</v>
      </c>
      <c r="C1835" s="13" t="s">
        <v>1</v>
      </c>
      <c r="D1835" s="15" t="str">
        <f>VLOOKUP(A1836,Inventory!$A$4:$K$1139,7)</f>
        <v xml:space="preserve">Klatch                             </v>
      </c>
      <c r="F1835" s="13" t="s">
        <v>235</v>
      </c>
      <c r="G1835" s="16"/>
      <c r="L1835" s="17"/>
      <c r="M1835" s="17"/>
    </row>
    <row r="1836" spans="1:16" x14ac:dyDescent="0.35">
      <c r="A1836">
        <v>163</v>
      </c>
      <c r="B1836" s="5">
        <v>44785</v>
      </c>
      <c r="C1836" s="15" t="str">
        <f>VLOOKUP(A1836,Inventory!$A$4:$K$1139,2)</f>
        <v>Guatemala Antigua Hunapu Micro Lot 2020</v>
      </c>
      <c r="E1836" s="11"/>
      <c r="F1836" s="31" t="s">
        <v>354</v>
      </c>
      <c r="G1836" s="2" t="s">
        <v>286</v>
      </c>
      <c r="L1836" s="17"/>
      <c r="M1836" s="17"/>
      <c r="P1836" s="8"/>
    </row>
    <row r="1837" spans="1:16" x14ac:dyDescent="0.35">
      <c r="B1837" s="13"/>
      <c r="C1837" s="13"/>
      <c r="D1837" s="11"/>
      <c r="F1837" s="13"/>
      <c r="G1837" s="16"/>
      <c r="I1837" s="1"/>
      <c r="L1837" s="19"/>
      <c r="M1837" s="19"/>
    </row>
    <row r="1838" spans="1:16" x14ac:dyDescent="0.35">
      <c r="B1838" s="20"/>
      <c r="C1838" s="11" t="s">
        <v>240</v>
      </c>
      <c r="D1838" s="11" t="s">
        <v>241</v>
      </c>
      <c r="E1838" s="11">
        <v>359</v>
      </c>
      <c r="F1838" s="11">
        <v>364</v>
      </c>
      <c r="G1838" s="11">
        <v>373</v>
      </c>
      <c r="H1838" s="11">
        <v>380</v>
      </c>
      <c r="I1838" s="11">
        <v>383</v>
      </c>
      <c r="J1838" s="11"/>
      <c r="K1838" s="11"/>
      <c r="L1838" s="11"/>
    </row>
    <row r="1839" spans="1:16" ht="15.75" customHeight="1" x14ac:dyDescent="0.35">
      <c r="B1839" s="20" t="s">
        <v>242</v>
      </c>
      <c r="C1839" s="30"/>
      <c r="D1839" s="30"/>
      <c r="E1839" s="23" t="s">
        <v>244</v>
      </c>
      <c r="F1839" s="23" t="s">
        <v>245</v>
      </c>
      <c r="G1839" s="23" t="s">
        <v>246</v>
      </c>
      <c r="H1839" s="23" t="s">
        <v>247</v>
      </c>
      <c r="I1839" s="23" t="s">
        <v>248</v>
      </c>
      <c r="O1839" s="4"/>
    </row>
    <row r="1840" spans="1:16" ht="1" customHeight="1" x14ac:dyDescent="0.35">
      <c r="B1840" s="24" t="s">
        <v>249</v>
      </c>
      <c r="C1840" s="25"/>
      <c r="D1840" s="25"/>
      <c r="E1840" s="25"/>
      <c r="F1840" s="25"/>
      <c r="G1840" s="25"/>
      <c r="H1840" s="25"/>
      <c r="I1840" s="25"/>
      <c r="O1840" t="e">
        <f>(O1838-3*O1837)/O1839</f>
        <v>#DIV/0!</v>
      </c>
    </row>
    <row r="1841" spans="1:16" ht="15.75" customHeight="1" x14ac:dyDescent="0.35">
      <c r="B1841" s="20" t="s">
        <v>250</v>
      </c>
      <c r="C1841" s="26">
        <v>0.1875</v>
      </c>
      <c r="D1841" s="26">
        <v>0.2638888888888889</v>
      </c>
      <c r="E1841" s="26">
        <v>0.33680555555555558</v>
      </c>
      <c r="F1841" s="26">
        <f>E1841+'Lookup Tables'!$N$1</f>
        <v>0.3576388888888889</v>
      </c>
      <c r="G1841" s="26">
        <f>F1841+'Lookup Tables'!$N$1</f>
        <v>0.37847222222222221</v>
      </c>
      <c r="H1841" s="26">
        <f>G1841+'Lookup Tables'!$N$1</f>
        <v>0.39930555555555552</v>
      </c>
      <c r="I1841" s="26">
        <f>H1841+'Lookup Tables'!$S$1</f>
        <v>0.40972222222222221</v>
      </c>
      <c r="N1841">
        <f>MAX(F1838:M1838)-O1841</f>
        <v>24</v>
      </c>
      <c r="O1841" t="str">
        <f>RIGHT(E1838,3)</f>
        <v>359</v>
      </c>
    </row>
    <row r="1842" spans="1:16" ht="15.75" customHeight="1" x14ac:dyDescent="0.35">
      <c r="B1842" s="20" t="s">
        <v>251</v>
      </c>
      <c r="C1842" s="27">
        <v>0.2</v>
      </c>
      <c r="D1842" s="27">
        <v>0.5</v>
      </c>
      <c r="E1842" s="27"/>
      <c r="F1842" s="27"/>
      <c r="G1842" s="27"/>
      <c r="H1842" s="27"/>
      <c r="I1842" s="25"/>
      <c r="N1842" t="str">
        <f xml:space="preserve">  N1841 &amp; " degrees this time"</f>
        <v>24 degrees this time</v>
      </c>
    </row>
    <row r="1843" spans="1:16" ht="15.75" customHeight="1" x14ac:dyDescent="0.35">
      <c r="B1843" s="20" t="s">
        <v>252</v>
      </c>
      <c r="C1843" s="27">
        <v>0.9</v>
      </c>
      <c r="D1843" s="27">
        <v>0.8</v>
      </c>
      <c r="E1843" s="27"/>
      <c r="F1843" s="27"/>
      <c r="G1843" s="27">
        <v>0.6</v>
      </c>
      <c r="H1843" s="27">
        <v>0.4</v>
      </c>
      <c r="I1843" s="27" t="s">
        <v>275</v>
      </c>
    </row>
    <row r="1844" spans="1:16" ht="15.75" customHeight="1" x14ac:dyDescent="0.35">
      <c r="B1844" s="20"/>
      <c r="D1844" s="37"/>
      <c r="E1844" s="11"/>
      <c r="F1844" s="11"/>
      <c r="G1844" s="40"/>
      <c r="H1844" s="11"/>
      <c r="I1844" s="11"/>
      <c r="J1844" s="37"/>
      <c r="K1844" s="32" t="s">
        <v>410</v>
      </c>
      <c r="L1844" s="9"/>
      <c r="M1844" s="9"/>
    </row>
    <row r="1845" spans="1:16" ht="15.75" customHeight="1" x14ac:dyDescent="0.35">
      <c r="B1845" s="32" t="s">
        <v>408</v>
      </c>
      <c r="C1845" s="9"/>
      <c r="D1845" s="9"/>
      <c r="G1845" s="1" t="s">
        <v>307</v>
      </c>
      <c r="H1845" s="1"/>
      <c r="K1845" s="32" t="s">
        <v>411</v>
      </c>
      <c r="L1845" s="9"/>
      <c r="M1845" s="9"/>
    </row>
    <row r="1846" spans="1:16" ht="15.75" customHeight="1" x14ac:dyDescent="0.35">
      <c r="B1846" s="20"/>
      <c r="G1846" s="1"/>
      <c r="H1846" s="1"/>
      <c r="K1846" s="32" t="s">
        <v>309</v>
      </c>
      <c r="L1846" s="9"/>
      <c r="M1846" s="9"/>
    </row>
    <row r="1847" spans="1:16" ht="15.75" customHeight="1" x14ac:dyDescent="0.35">
      <c r="B1847" s="20"/>
      <c r="G1847" s="1"/>
      <c r="H1847" s="1"/>
      <c r="K1847" s="9" t="s">
        <v>300</v>
      </c>
      <c r="L1847" s="9"/>
      <c r="M1847" s="9"/>
    </row>
    <row r="1848" spans="1:16" ht="15.75" customHeight="1" x14ac:dyDescent="0.35">
      <c r="B1848" s="9"/>
      <c r="C1848" s="9"/>
      <c r="D1848" s="9"/>
      <c r="E1848" s="9"/>
      <c r="F1848" s="12"/>
      <c r="G1848" s="12"/>
      <c r="H1848" s="12"/>
      <c r="I1848" s="12"/>
      <c r="J1848" s="12"/>
      <c r="K1848" s="12"/>
      <c r="L1848" s="1"/>
    </row>
    <row r="1849" spans="1:16" ht="15.75" customHeight="1" x14ac:dyDescent="0.35">
      <c r="B1849" s="13"/>
      <c r="C1849" s="13"/>
      <c r="D1849" s="15"/>
    </row>
    <row r="1850" spans="1:16" x14ac:dyDescent="0.35">
      <c r="B1850" s="13" t="s">
        <v>5</v>
      </c>
      <c r="C1850" s="13" t="s">
        <v>1</v>
      </c>
      <c r="D1850" s="15" t="str">
        <f>VLOOKUP(A1851,Inventory!$A$4:$K$1139,7)</f>
        <v xml:space="preserve">GCBC                               </v>
      </c>
      <c r="F1850" s="13" t="s">
        <v>235</v>
      </c>
      <c r="G1850" s="16"/>
      <c r="L1850" s="17"/>
      <c r="M1850" s="17"/>
    </row>
    <row r="1851" spans="1:16" x14ac:dyDescent="0.35">
      <c r="A1851">
        <v>160</v>
      </c>
      <c r="B1851" s="5">
        <v>44785</v>
      </c>
      <c r="C1851" s="15" t="str">
        <f>VLOOKUP(A1851,Inventory!$A$4:$K$1139,2)</f>
        <v>Sumatra Mandheling Takengon 2020</v>
      </c>
      <c r="E1851" s="11"/>
      <c r="F1851" s="34" t="s">
        <v>279</v>
      </c>
      <c r="G1851" s="2" t="s">
        <v>270</v>
      </c>
      <c r="J1851" s="8"/>
      <c r="L1851" s="17"/>
      <c r="M1851" s="17"/>
      <c r="P1851" s="8"/>
    </row>
    <row r="1852" spans="1:16" x14ac:dyDescent="0.35">
      <c r="B1852" s="13"/>
      <c r="C1852" s="13"/>
      <c r="D1852" s="11"/>
      <c r="F1852" s="13"/>
      <c r="G1852" s="16"/>
      <c r="K1852" s="1"/>
      <c r="L1852" s="19"/>
      <c r="M1852" s="19"/>
    </row>
    <row r="1853" spans="1:16" x14ac:dyDescent="0.35">
      <c r="B1853" s="20"/>
      <c r="C1853" s="11" t="s">
        <v>240</v>
      </c>
      <c r="D1853" s="11" t="s">
        <v>301</v>
      </c>
      <c r="E1853" s="11">
        <v>373</v>
      </c>
      <c r="F1853" s="11">
        <v>380</v>
      </c>
      <c r="G1853" s="11">
        <v>386</v>
      </c>
      <c r="H1853" s="11">
        <v>393</v>
      </c>
      <c r="I1853" s="11">
        <v>396</v>
      </c>
      <c r="J1853" s="11"/>
      <c r="K1853" s="11"/>
      <c r="L1853" s="11"/>
    </row>
    <row r="1854" spans="1:16" ht="15.75" customHeight="1" x14ac:dyDescent="0.35">
      <c r="B1854" s="20" t="s">
        <v>242</v>
      </c>
      <c r="C1854" s="21"/>
      <c r="D1854" s="22" t="s">
        <v>302</v>
      </c>
      <c r="E1854" s="23" t="s">
        <v>244</v>
      </c>
      <c r="F1854" s="23" t="s">
        <v>245</v>
      </c>
      <c r="G1854" s="23" t="s">
        <v>246</v>
      </c>
      <c r="H1854" s="23" t="s">
        <v>247</v>
      </c>
      <c r="I1854" s="23" t="s">
        <v>248</v>
      </c>
      <c r="O1854" s="4"/>
    </row>
    <row r="1855" spans="1:16" ht="1" customHeight="1" x14ac:dyDescent="0.35">
      <c r="B1855" s="24" t="s">
        <v>249</v>
      </c>
      <c r="C1855" s="25"/>
      <c r="D1855" s="25"/>
      <c r="E1855" s="25"/>
      <c r="F1855" s="25"/>
      <c r="G1855" s="25"/>
      <c r="H1855" s="25"/>
      <c r="I1855" s="25"/>
      <c r="O1855" t="e">
        <f>(O1853-3*O1852)/O1854</f>
        <v>#DIV/0!</v>
      </c>
    </row>
    <row r="1856" spans="1:16" ht="15.75" customHeight="1" x14ac:dyDescent="0.35">
      <c r="B1856" s="20" t="s">
        <v>250</v>
      </c>
      <c r="C1856" s="26">
        <v>0.23611111111111113</v>
      </c>
      <c r="D1856" s="26">
        <v>0.3298611111111111</v>
      </c>
      <c r="E1856" s="26">
        <v>0.41666666666666669</v>
      </c>
      <c r="F1856" s="26">
        <f>E1856+'Lookup Tables'!$N$1</f>
        <v>0.4375</v>
      </c>
      <c r="G1856" s="26">
        <f>F1856+'Lookup Tables'!$N$1</f>
        <v>0.45833333333333331</v>
      </c>
      <c r="H1856" s="26">
        <f>G1856+'Lookup Tables'!$N$1</f>
        <v>0.47916666666666663</v>
      </c>
      <c r="I1856" s="26">
        <f>H1856+'Lookup Tables'!$N$1</f>
        <v>0.49999999999999994</v>
      </c>
      <c r="N1856">
        <f>MAX(F1853:M1853)-O1856</f>
        <v>23</v>
      </c>
      <c r="O1856" t="str">
        <f>RIGHT(E1853,3)</f>
        <v>373</v>
      </c>
    </row>
    <row r="1857" spans="1:16" ht="15.75" customHeight="1" x14ac:dyDescent="0.35">
      <c r="B1857" s="20" t="s">
        <v>251</v>
      </c>
      <c r="C1857" s="27">
        <v>0.2</v>
      </c>
      <c r="D1857" s="27">
        <v>0.5</v>
      </c>
      <c r="E1857" s="27"/>
      <c r="F1857" s="27"/>
      <c r="G1857" s="27"/>
      <c r="H1857" s="27"/>
      <c r="I1857" s="27"/>
      <c r="N1857" t="str">
        <f xml:space="preserve">  N1856 &amp; " degrees this time"</f>
        <v>23 degrees this time</v>
      </c>
    </row>
    <row r="1858" spans="1:16" ht="15.75" customHeight="1" x14ac:dyDescent="0.35">
      <c r="B1858" s="20" t="s">
        <v>252</v>
      </c>
      <c r="C1858" s="27">
        <v>0.9</v>
      </c>
      <c r="D1858" s="27">
        <v>0.7</v>
      </c>
      <c r="E1858" s="27">
        <v>0.4</v>
      </c>
      <c r="F1858" s="27" t="s">
        <v>274</v>
      </c>
      <c r="G1858" s="27"/>
      <c r="H1858" s="27"/>
      <c r="I1858" s="27"/>
    </row>
    <row r="1859" spans="1:16" ht="15.75" customHeight="1" x14ac:dyDescent="0.35">
      <c r="B1859" s="20"/>
      <c r="D1859" s="11"/>
      <c r="E1859" s="11"/>
      <c r="F1859" s="11"/>
      <c r="G1859" s="11"/>
      <c r="H1859" s="11"/>
      <c r="I1859" s="11"/>
      <c r="J1859" s="37"/>
      <c r="K1859" s="37"/>
      <c r="L1859" s="35"/>
    </row>
    <row r="1860" spans="1:16" ht="15.75" customHeight="1" x14ac:dyDescent="0.35">
      <c r="B1860" s="38"/>
      <c r="E1860" s="11"/>
      <c r="G1860" s="1" t="s">
        <v>303</v>
      </c>
      <c r="H1860" s="1"/>
      <c r="K1860" s="32" t="s">
        <v>412</v>
      </c>
      <c r="L1860" s="9"/>
      <c r="M1860" s="9"/>
    </row>
    <row r="1861" spans="1:16" ht="15.75" customHeight="1" x14ac:dyDescent="0.35">
      <c r="B1861" s="20"/>
      <c r="G1861" s="1"/>
      <c r="H1861" s="1"/>
      <c r="K1861" s="32"/>
      <c r="L1861" s="9"/>
      <c r="M1861" s="9"/>
    </row>
    <row r="1862" spans="1:16" ht="15.75" customHeight="1" x14ac:dyDescent="0.35">
      <c r="B1862" s="20"/>
      <c r="G1862" s="1"/>
      <c r="H1862" s="1"/>
      <c r="K1862" s="9" t="s">
        <v>300</v>
      </c>
      <c r="L1862" s="9"/>
      <c r="M1862" s="9"/>
    </row>
    <row r="1863" spans="1:16" ht="15.75" customHeight="1" x14ac:dyDescent="0.35">
      <c r="B1863" s="9"/>
      <c r="C1863" s="9"/>
      <c r="D1863" s="9"/>
      <c r="E1863" s="9"/>
      <c r="F1863" s="12"/>
      <c r="G1863" s="12"/>
      <c r="H1863" s="12"/>
      <c r="I1863" s="12"/>
      <c r="J1863" s="12"/>
      <c r="K1863" s="12"/>
      <c r="L1863" s="1"/>
    </row>
    <row r="1864" spans="1:16" ht="15.75" customHeight="1" x14ac:dyDescent="0.35">
      <c r="B1864" s="13"/>
      <c r="C1864" s="13"/>
      <c r="D1864" s="13"/>
      <c r="E1864" s="13"/>
      <c r="G1864" s="13"/>
      <c r="I1864" s="14"/>
    </row>
    <row r="1865" spans="1:16" x14ac:dyDescent="0.35">
      <c r="B1865" s="13" t="s">
        <v>5</v>
      </c>
      <c r="C1865" s="13" t="s">
        <v>1</v>
      </c>
      <c r="D1865" s="15" t="str">
        <f>VLOOKUP(A1866,Inventory!$A$4:$K$1139,7)</f>
        <v xml:space="preserve">Sweet Marias                       </v>
      </c>
      <c r="F1865" s="13" t="s">
        <v>235</v>
      </c>
      <c r="G1865" s="16"/>
      <c r="H1865" s="14" t="s">
        <v>236</v>
      </c>
      <c r="L1865" s="17"/>
      <c r="M1865" s="17"/>
    </row>
    <row r="1866" spans="1:16" x14ac:dyDescent="0.35">
      <c r="A1866">
        <v>157</v>
      </c>
      <c r="B1866" s="5">
        <v>44707</v>
      </c>
      <c r="C1866" s="15" t="str">
        <f>VLOOKUP(A1866,Inventory!$A$4:$K$1139,2)</f>
        <v>Burundi Collines 2020 SWP Decaf</v>
      </c>
      <c r="F1866" s="18" t="s">
        <v>237</v>
      </c>
      <c r="G1866" s="2" t="s">
        <v>238</v>
      </c>
      <c r="L1866" s="17"/>
      <c r="M1866" s="17"/>
      <c r="P1866" s="8"/>
    </row>
    <row r="1867" spans="1:16" x14ac:dyDescent="0.35">
      <c r="I1867" s="2" t="s">
        <v>239</v>
      </c>
      <c r="J1867" s="1" t="s">
        <v>16</v>
      </c>
      <c r="L1867" s="19"/>
      <c r="M1867" s="19"/>
    </row>
    <row r="1868" spans="1:16" x14ac:dyDescent="0.35">
      <c r="C1868" s="11" t="s">
        <v>240</v>
      </c>
      <c r="D1868" s="11" t="s">
        <v>241</v>
      </c>
      <c r="E1868" s="11">
        <v>373</v>
      </c>
      <c r="F1868" s="11">
        <v>379</v>
      </c>
      <c r="G1868" s="11">
        <v>386</v>
      </c>
      <c r="H1868" s="11">
        <v>393</v>
      </c>
      <c r="I1868" s="11">
        <v>397</v>
      </c>
      <c r="J1868" s="11"/>
      <c r="K1868" s="11"/>
      <c r="L1868" s="11"/>
    </row>
    <row r="1869" spans="1:16" ht="15.75" customHeight="1" x14ac:dyDescent="0.35">
      <c r="B1869" s="20" t="s">
        <v>242</v>
      </c>
      <c r="C1869" s="21"/>
      <c r="D1869" s="22" t="s">
        <v>333</v>
      </c>
      <c r="E1869" s="23" t="s">
        <v>244</v>
      </c>
      <c r="F1869" s="23" t="s">
        <v>245</v>
      </c>
      <c r="G1869" s="23" t="s">
        <v>246</v>
      </c>
      <c r="H1869" s="23" t="s">
        <v>247</v>
      </c>
      <c r="I1869" s="23" t="s">
        <v>248</v>
      </c>
      <c r="J1869" s="23" t="s">
        <v>259</v>
      </c>
      <c r="O1869" s="4"/>
    </row>
    <row r="1870" spans="1:16" ht="1" customHeight="1" x14ac:dyDescent="0.35">
      <c r="B1870" s="24" t="s">
        <v>249</v>
      </c>
      <c r="C1870" s="25">
        <v>320</v>
      </c>
      <c r="D1870" s="25">
        <v>350</v>
      </c>
      <c r="E1870" s="25">
        <v>377</v>
      </c>
      <c r="F1870" s="25">
        <v>384</v>
      </c>
      <c r="G1870" s="25">
        <v>388</v>
      </c>
      <c r="H1870" s="25">
        <v>392</v>
      </c>
      <c r="I1870" s="25"/>
      <c r="J1870" s="25">
        <v>415</v>
      </c>
      <c r="O1870" t="e">
        <f>(O1868-3*O1867)/O1869</f>
        <v>#DIV/0!</v>
      </c>
    </row>
    <row r="1871" spans="1:16" ht="15.75" customHeight="1" x14ac:dyDescent="0.35">
      <c r="B1871" s="20" t="s">
        <v>250</v>
      </c>
      <c r="C1871" s="26">
        <v>0.24305555555555555</v>
      </c>
      <c r="D1871" s="26">
        <v>0.31944444444444448</v>
      </c>
      <c r="E1871" s="26">
        <v>0.4236111111111111</v>
      </c>
      <c r="F1871" s="26">
        <f>E1871+'Lookup Tables'!$N$1</f>
        <v>0.44444444444444442</v>
      </c>
      <c r="G1871" s="26">
        <f>F1871+'Lookup Tables'!$N$1</f>
        <v>0.46527777777777773</v>
      </c>
      <c r="H1871" s="26">
        <f>G1871+'Lookup Tables'!$N$1</f>
        <v>0.48611111111111105</v>
      </c>
      <c r="I1871" s="26">
        <f>H1871+'Lookup Tables'!$S$1</f>
        <v>0.49652777777777773</v>
      </c>
      <c r="J1871" s="26">
        <f>I1871+'Lookup Tables'!$M$1</f>
        <v>0.50694444444444442</v>
      </c>
      <c r="N1871">
        <f>MAX(F1868:M1868)-O1871</f>
        <v>24</v>
      </c>
      <c r="O1871" t="str">
        <f>RIGHT(E1868,3)</f>
        <v>373</v>
      </c>
    </row>
    <row r="1872" spans="1:16" ht="15.75" customHeight="1" x14ac:dyDescent="0.35">
      <c r="B1872" s="20" t="s">
        <v>251</v>
      </c>
      <c r="C1872" s="27">
        <v>0.2</v>
      </c>
      <c r="D1872" s="27">
        <v>0.5</v>
      </c>
      <c r="E1872" s="27"/>
      <c r="F1872" s="27"/>
      <c r="G1872" s="27"/>
      <c r="H1872" s="27"/>
      <c r="I1872" s="25"/>
      <c r="J1872" s="27"/>
      <c r="N1872" t="str">
        <f xml:space="preserve">  N1871 &amp; " degrees this time"</f>
        <v>24 degrees this time</v>
      </c>
    </row>
    <row r="1873" spans="1:16" ht="15.75" customHeight="1" x14ac:dyDescent="0.35">
      <c r="B1873" s="20" t="s">
        <v>252</v>
      </c>
      <c r="C1873" s="27">
        <v>0.9</v>
      </c>
      <c r="D1873" s="27">
        <v>0.7</v>
      </c>
      <c r="E1873" s="27">
        <v>0.6</v>
      </c>
      <c r="F1873" s="27"/>
      <c r="G1873" s="27"/>
      <c r="H1873" s="27"/>
      <c r="I1873" s="27" t="s">
        <v>275</v>
      </c>
      <c r="J1873" s="27"/>
    </row>
    <row r="1874" spans="1:16" ht="15.75" customHeight="1" x14ac:dyDescent="0.35">
      <c r="B1874" s="20"/>
      <c r="D1874" s="11"/>
      <c r="E1874" s="11"/>
      <c r="F1874" s="28"/>
      <c r="H1874" s="1"/>
      <c r="I1874" s="1"/>
    </row>
    <row r="1875" spans="1:16" ht="15.75" customHeight="1" x14ac:dyDescent="0.35">
      <c r="C1875" s="1"/>
      <c r="G1875" s="1" t="s">
        <v>253</v>
      </c>
      <c r="K1875" s="12"/>
      <c r="L1875" s="9"/>
      <c r="M1875" s="9"/>
    </row>
    <row r="1876" spans="1:16" ht="15.75" customHeight="1" x14ac:dyDescent="0.35">
      <c r="B1876" s="20"/>
      <c r="G1876" s="1"/>
      <c r="H1876" s="1"/>
      <c r="K1876" s="9"/>
      <c r="L1876" s="9"/>
      <c r="M1876" s="9"/>
    </row>
    <row r="1877" spans="1:16" ht="15.75" customHeight="1" x14ac:dyDescent="0.35">
      <c r="B1877" s="20"/>
      <c r="G1877" s="1"/>
      <c r="H1877" s="1"/>
      <c r="K1877" s="9" t="s">
        <v>254</v>
      </c>
      <c r="L1877" s="9"/>
      <c r="M1877" s="9"/>
    </row>
    <row r="1878" spans="1:16" ht="15.75" customHeight="1" x14ac:dyDescent="0.35">
      <c r="B1878" s="9"/>
      <c r="C1878" s="9"/>
      <c r="D1878" s="9"/>
      <c r="E1878" s="9"/>
      <c r="F1878" s="12"/>
      <c r="G1878" s="12"/>
      <c r="H1878" s="12"/>
      <c r="I1878" s="12"/>
      <c r="J1878" s="12"/>
      <c r="K1878" s="12"/>
      <c r="L1878" s="1"/>
    </row>
    <row r="1879" spans="1:16" ht="15.75" customHeight="1" x14ac:dyDescent="0.35">
      <c r="B1879" s="13"/>
      <c r="C1879" s="13"/>
      <c r="D1879" s="15"/>
      <c r="H1879" s="14" t="s">
        <v>255</v>
      </c>
      <c r="I1879" s="14"/>
    </row>
    <row r="1880" spans="1:16" x14ac:dyDescent="0.35">
      <c r="B1880" s="13" t="s">
        <v>5</v>
      </c>
      <c r="C1880" s="13" t="s">
        <v>1</v>
      </c>
      <c r="D1880" s="15" t="str">
        <f>VLOOKUP(A1881,Inventory!$A$4:$K$1139,7)</f>
        <v xml:space="preserve">Sweet Marias                       </v>
      </c>
      <c r="F1880" s="13" t="s">
        <v>235</v>
      </c>
      <c r="G1880" s="16"/>
      <c r="H1880" s="14" t="s">
        <v>256</v>
      </c>
      <c r="K1880" s="12" t="s">
        <v>334</v>
      </c>
      <c r="L1880" s="9"/>
      <c r="M1880" s="9"/>
    </row>
    <row r="1881" spans="1:16" x14ac:dyDescent="0.35">
      <c r="A1881">
        <v>157</v>
      </c>
      <c r="B1881" s="5">
        <v>44707</v>
      </c>
      <c r="C1881" s="15" t="str">
        <f>VLOOKUP(A1881,Inventory!$A$4:$K$1139,2)</f>
        <v>Burundi Collines 2020 SWP Decaf</v>
      </c>
      <c r="F1881" s="18" t="s">
        <v>257</v>
      </c>
      <c r="G1881" s="2" t="s">
        <v>238</v>
      </c>
      <c r="P1881" s="8"/>
    </row>
    <row r="1882" spans="1:16" x14ac:dyDescent="0.35">
      <c r="H1882" s="2" t="s">
        <v>258</v>
      </c>
    </row>
    <row r="1883" spans="1:16" x14ac:dyDescent="0.35">
      <c r="C1883" s="11" t="s">
        <v>240</v>
      </c>
      <c r="D1883" s="11" t="s">
        <v>241</v>
      </c>
      <c r="E1883" s="11">
        <v>372</v>
      </c>
      <c r="F1883" s="11">
        <v>377</v>
      </c>
      <c r="G1883" s="11">
        <v>384</v>
      </c>
      <c r="H1883" s="11">
        <v>392</v>
      </c>
      <c r="I1883" s="11"/>
      <c r="J1883" s="11"/>
      <c r="K1883" s="11"/>
      <c r="L1883" s="11"/>
    </row>
    <row r="1884" spans="1:16" ht="15.75" customHeight="1" x14ac:dyDescent="0.35">
      <c r="B1884" s="20" t="s">
        <v>242</v>
      </c>
      <c r="C1884" s="21"/>
      <c r="D1884" s="22" t="s">
        <v>294</v>
      </c>
      <c r="E1884" s="23" t="s">
        <v>244</v>
      </c>
      <c r="F1884" s="23" t="s">
        <v>245</v>
      </c>
      <c r="G1884" s="23" t="s">
        <v>246</v>
      </c>
      <c r="H1884" s="23" t="s">
        <v>247</v>
      </c>
      <c r="I1884" s="23" t="s">
        <v>259</v>
      </c>
      <c r="J1884" s="23" t="s">
        <v>260</v>
      </c>
      <c r="K1884" s="23" t="s">
        <v>261</v>
      </c>
      <c r="O1884" s="4"/>
    </row>
    <row r="1885" spans="1:16" ht="1" customHeight="1" x14ac:dyDescent="0.35">
      <c r="B1885" s="24" t="s">
        <v>249</v>
      </c>
      <c r="C1885" s="25">
        <v>320</v>
      </c>
      <c r="D1885" s="25">
        <v>350</v>
      </c>
      <c r="E1885" s="25">
        <v>377</v>
      </c>
      <c r="F1885" s="25">
        <v>384</v>
      </c>
      <c r="G1885" s="25">
        <v>388</v>
      </c>
      <c r="H1885" s="25">
        <v>392</v>
      </c>
      <c r="I1885" s="25">
        <v>395</v>
      </c>
      <c r="J1885" s="25">
        <v>415</v>
      </c>
      <c r="K1885" s="25">
        <v>415</v>
      </c>
      <c r="O1885" t="e">
        <f>(O1883-3*O1882)/O1884</f>
        <v>#DIV/0!</v>
      </c>
    </row>
    <row r="1886" spans="1:16" ht="15.75" customHeight="1" x14ac:dyDescent="0.35">
      <c r="B1886" s="20" t="s">
        <v>250</v>
      </c>
      <c r="C1886" s="26">
        <v>0.23263888888888887</v>
      </c>
      <c r="D1886" s="26">
        <v>0.31597222222222221</v>
      </c>
      <c r="E1886" s="26">
        <v>0.44097222222222227</v>
      </c>
      <c r="F1886" s="26">
        <f>E1886+'Lookup Tables'!$N$1</f>
        <v>0.46180555555555558</v>
      </c>
      <c r="G1886" s="26">
        <f>F1886+'Lookup Tables'!$N$1</f>
        <v>0.4826388888888889</v>
      </c>
      <c r="H1886" s="26">
        <f>G1886+'Lookup Tables'!$N$1</f>
        <v>0.50347222222222221</v>
      </c>
      <c r="I1886" s="26">
        <f>H1886+'Lookup Tables'!$N$1</f>
        <v>0.52430555555555558</v>
      </c>
      <c r="J1886" s="26">
        <f>I1886+'Lookup Tables'!$M$1</f>
        <v>0.53472222222222221</v>
      </c>
      <c r="K1886" s="26">
        <f>J1886+'Lookup Tables'!$M$1</f>
        <v>0.54513888888888884</v>
      </c>
      <c r="N1886">
        <f>MAX(F1883:M1883)-O1886</f>
        <v>20</v>
      </c>
      <c r="O1886" t="str">
        <f>RIGHT(E1883,3)</f>
        <v>372</v>
      </c>
    </row>
    <row r="1887" spans="1:16" ht="15.75" customHeight="1" x14ac:dyDescent="0.35">
      <c r="B1887" s="20" t="s">
        <v>251</v>
      </c>
      <c r="C1887" s="27">
        <v>0.2</v>
      </c>
      <c r="D1887" s="27">
        <v>0.5</v>
      </c>
      <c r="E1887" s="27"/>
      <c r="F1887" s="27"/>
      <c r="G1887" s="27"/>
      <c r="H1887" s="27"/>
      <c r="I1887" s="27"/>
      <c r="J1887" s="27"/>
      <c r="K1887" s="25"/>
      <c r="N1887" t="str">
        <f xml:space="preserve">  N1886 &amp; " degrees this time"</f>
        <v>20 degrees this time</v>
      </c>
    </row>
    <row r="1888" spans="1:16" ht="15.75" customHeight="1" x14ac:dyDescent="0.35">
      <c r="B1888" s="20" t="s">
        <v>252</v>
      </c>
      <c r="C1888" s="27">
        <v>0.9</v>
      </c>
      <c r="D1888" s="27">
        <v>0.7</v>
      </c>
      <c r="E1888" s="27">
        <v>0.6</v>
      </c>
      <c r="F1888" s="27"/>
      <c r="G1888" s="27"/>
      <c r="H1888" s="27"/>
      <c r="I1888" s="27"/>
      <c r="J1888" s="27"/>
      <c r="K1888" s="27"/>
    </row>
    <row r="1889" spans="1:16" ht="15.75" customHeight="1" x14ac:dyDescent="0.35">
      <c r="B1889" s="20"/>
      <c r="D1889" s="11"/>
      <c r="E1889" s="11"/>
      <c r="F1889" s="28"/>
      <c r="H1889" s="1"/>
    </row>
    <row r="1890" spans="1:16" ht="15.75" customHeight="1" x14ac:dyDescent="0.35">
      <c r="B1890" s="1" t="s">
        <v>262</v>
      </c>
      <c r="F1890" t="s">
        <v>263</v>
      </c>
      <c r="G1890" s="1"/>
      <c r="K1890" s="12"/>
      <c r="L1890" s="9"/>
      <c r="M1890" s="9"/>
    </row>
    <row r="1891" spans="1:16" ht="15.75" customHeight="1" x14ac:dyDescent="0.35">
      <c r="B1891" s="20" t="s">
        <v>264</v>
      </c>
      <c r="D1891" s="29"/>
      <c r="F1891" t="s">
        <v>265</v>
      </c>
      <c r="G1891" s="1"/>
      <c r="H1891" s="1"/>
      <c r="K1891" s="9" t="s">
        <v>266</v>
      </c>
      <c r="L1891" s="9"/>
      <c r="M1891" s="9"/>
    </row>
    <row r="1892" spans="1:16" ht="15.75" customHeight="1" x14ac:dyDescent="0.35">
      <c r="B1892" s="20" t="s">
        <v>267</v>
      </c>
      <c r="F1892" t="s">
        <v>268</v>
      </c>
      <c r="G1892" s="1"/>
      <c r="H1892" s="1"/>
      <c r="K1892" s="9" t="s">
        <v>254</v>
      </c>
      <c r="L1892" s="9"/>
      <c r="M1892" s="9"/>
    </row>
    <row r="1893" spans="1:16" ht="15.75" customHeight="1" x14ac:dyDescent="0.35">
      <c r="B1893" s="9"/>
      <c r="C1893" s="9"/>
      <c r="D1893" s="9"/>
      <c r="E1893" s="9"/>
      <c r="F1893" s="12"/>
      <c r="G1893" s="12"/>
      <c r="H1893" s="12"/>
      <c r="I1893" s="12"/>
      <c r="J1893" s="12"/>
      <c r="K1893" s="12"/>
      <c r="L1893" s="1"/>
    </row>
    <row r="1894" spans="1:16" ht="15.75" customHeight="1" x14ac:dyDescent="0.35">
      <c r="B1894" s="13"/>
      <c r="C1894" s="13"/>
      <c r="D1894" s="13"/>
      <c r="E1894" s="13"/>
      <c r="F1894" s="13"/>
      <c r="G1894" s="13"/>
      <c r="I1894" s="14"/>
    </row>
    <row r="1895" spans="1:16" x14ac:dyDescent="0.35">
      <c r="B1895" s="13" t="s">
        <v>5</v>
      </c>
      <c r="C1895" s="13" t="s">
        <v>1</v>
      </c>
      <c r="D1895" s="15" t="str">
        <f>VLOOKUP(A1896,Inventory!$A$4:$K$1139,7)</f>
        <v xml:space="preserve">Sweet Marias                       </v>
      </c>
      <c r="F1895" s="13" t="s">
        <v>235</v>
      </c>
      <c r="G1895" s="16"/>
      <c r="H1895" s="14" t="s">
        <v>236</v>
      </c>
      <c r="L1895" s="17"/>
      <c r="M1895" s="17"/>
    </row>
    <row r="1896" spans="1:16" x14ac:dyDescent="0.35">
      <c r="A1896">
        <v>156</v>
      </c>
      <c r="B1896" s="5">
        <v>44707</v>
      </c>
      <c r="C1896" s="15" t="str">
        <f>VLOOKUP(A1896,Inventory!$A$4:$K$1139,2)</f>
        <v>Rwanda Nyamasheke 2020 SWP Decaf</v>
      </c>
      <c r="F1896" s="18" t="s">
        <v>237</v>
      </c>
      <c r="G1896" s="2" t="s">
        <v>238</v>
      </c>
      <c r="L1896" s="17"/>
      <c r="M1896" s="17"/>
      <c r="P1896" s="8"/>
    </row>
    <row r="1897" spans="1:16" x14ac:dyDescent="0.35">
      <c r="J1897" s="1" t="s">
        <v>16</v>
      </c>
      <c r="L1897" s="19"/>
      <c r="M1897" s="19"/>
    </row>
    <row r="1898" spans="1:16" x14ac:dyDescent="0.35">
      <c r="C1898" s="11" t="s">
        <v>240</v>
      </c>
      <c r="D1898" s="11" t="s">
        <v>241</v>
      </c>
      <c r="E1898" s="11">
        <v>375</v>
      </c>
      <c r="F1898" s="11">
        <v>381</v>
      </c>
      <c r="G1898" s="11">
        <v>387</v>
      </c>
      <c r="H1898" s="11">
        <v>392</v>
      </c>
      <c r="I1898" s="11">
        <v>397</v>
      </c>
      <c r="J1898" s="11">
        <v>402</v>
      </c>
      <c r="K1898" s="11"/>
      <c r="L1898" s="11"/>
    </row>
    <row r="1899" spans="1:16" ht="15.75" customHeight="1" x14ac:dyDescent="0.35">
      <c r="B1899" s="20" t="s">
        <v>242</v>
      </c>
      <c r="C1899" s="21"/>
      <c r="D1899" s="22" t="s">
        <v>382</v>
      </c>
      <c r="E1899" s="23" t="s">
        <v>244</v>
      </c>
      <c r="F1899" s="23" t="s">
        <v>245</v>
      </c>
      <c r="G1899" s="23" t="s">
        <v>246</v>
      </c>
      <c r="H1899" s="23" t="s">
        <v>247</v>
      </c>
      <c r="I1899" s="23" t="s">
        <v>259</v>
      </c>
      <c r="J1899" s="23" t="s">
        <v>260</v>
      </c>
      <c r="O1899" s="4"/>
    </row>
    <row r="1900" spans="1:16" ht="1" customHeight="1" x14ac:dyDescent="0.35">
      <c r="B1900" s="24" t="s">
        <v>249</v>
      </c>
      <c r="C1900" s="25">
        <v>320</v>
      </c>
      <c r="D1900" s="25">
        <v>350</v>
      </c>
      <c r="E1900" s="25">
        <v>377</v>
      </c>
      <c r="F1900" s="25">
        <v>384</v>
      </c>
      <c r="G1900" s="25">
        <v>388</v>
      </c>
      <c r="H1900" s="25">
        <v>392</v>
      </c>
      <c r="I1900" s="25">
        <v>395</v>
      </c>
      <c r="J1900" s="25">
        <v>415</v>
      </c>
      <c r="O1900" t="e">
        <f>(O1898-3*O1897)/O1899</f>
        <v>#DIV/0!</v>
      </c>
    </row>
    <row r="1901" spans="1:16" ht="15.75" customHeight="1" x14ac:dyDescent="0.35">
      <c r="B1901" s="20" t="s">
        <v>250</v>
      </c>
      <c r="C1901" s="26">
        <v>0.25</v>
      </c>
      <c r="D1901" s="26">
        <v>0.34375</v>
      </c>
      <c r="E1901" s="26">
        <v>0.46527777777777773</v>
      </c>
      <c r="F1901" s="26">
        <f>E1901+'Lookup Tables'!$N$1</f>
        <v>0.48611111111111105</v>
      </c>
      <c r="G1901" s="26">
        <f>F1901+'Lookup Tables'!$N$1</f>
        <v>0.50694444444444442</v>
      </c>
      <c r="H1901" s="26">
        <f>G1901+'Lookup Tables'!$N$1</f>
        <v>0.52777777777777779</v>
      </c>
      <c r="I1901" s="26">
        <f>H1901+'Lookup Tables'!$N$1</f>
        <v>0.54861111111111116</v>
      </c>
      <c r="J1901" s="26">
        <f>I1901+'Lookup Tables'!$M$1</f>
        <v>0.55902777777777779</v>
      </c>
      <c r="N1901">
        <f>MAX(F1898:M1898)-O1901</f>
        <v>27</v>
      </c>
      <c r="O1901" t="str">
        <f>RIGHT(E1898,3)</f>
        <v>375</v>
      </c>
    </row>
    <row r="1902" spans="1:16" ht="15.75" customHeight="1" x14ac:dyDescent="0.35">
      <c r="B1902" s="20" t="s">
        <v>251</v>
      </c>
      <c r="C1902" s="27">
        <v>0.2</v>
      </c>
      <c r="D1902" s="27">
        <v>0.5</v>
      </c>
      <c r="E1902" s="27"/>
      <c r="F1902" s="27"/>
      <c r="G1902" s="27"/>
      <c r="H1902" s="27"/>
      <c r="I1902" s="27"/>
      <c r="J1902" s="27"/>
      <c r="N1902" t="str">
        <f xml:space="preserve">  N1901 &amp; " degrees this time"</f>
        <v>27 degrees this time</v>
      </c>
    </row>
    <row r="1903" spans="1:16" ht="15.75" customHeight="1" x14ac:dyDescent="0.35">
      <c r="B1903" s="20" t="s">
        <v>252</v>
      </c>
      <c r="C1903" s="27">
        <v>0.9</v>
      </c>
      <c r="D1903" s="27">
        <v>0.7</v>
      </c>
      <c r="E1903" s="27">
        <v>0.6</v>
      </c>
      <c r="F1903" s="27"/>
      <c r="G1903" s="27"/>
      <c r="H1903" s="27"/>
      <c r="I1903" s="27"/>
      <c r="J1903" s="27"/>
    </row>
    <row r="1904" spans="1:16" ht="15.75" customHeight="1" x14ac:dyDescent="0.35">
      <c r="B1904" s="20"/>
      <c r="D1904" s="11"/>
      <c r="E1904" s="11" t="s">
        <v>413</v>
      </c>
      <c r="F1904" s="28"/>
      <c r="H1904" s="1"/>
      <c r="I1904" s="1"/>
    </row>
    <row r="1905" spans="1:16" ht="15.75" customHeight="1" x14ac:dyDescent="0.35">
      <c r="E1905" s="1" t="s">
        <v>414</v>
      </c>
      <c r="G1905" s="1" t="s">
        <v>383</v>
      </c>
      <c r="K1905" s="32" t="s">
        <v>415</v>
      </c>
      <c r="L1905" s="9"/>
      <c r="M1905" s="9"/>
    </row>
    <row r="1906" spans="1:16" ht="15.75" customHeight="1" x14ac:dyDescent="0.35">
      <c r="B1906" s="20"/>
      <c r="G1906" s="1"/>
      <c r="H1906" s="1"/>
      <c r="K1906" s="9"/>
      <c r="L1906" s="9"/>
      <c r="M1906" s="9"/>
    </row>
    <row r="1907" spans="1:16" ht="15.75" customHeight="1" x14ac:dyDescent="0.35">
      <c r="B1907" s="20"/>
      <c r="G1907" s="1"/>
      <c r="H1907" s="1"/>
      <c r="K1907" s="9" t="s">
        <v>254</v>
      </c>
      <c r="L1907" s="9"/>
      <c r="M1907" s="9"/>
    </row>
    <row r="1908" spans="1:16" ht="15.75" customHeight="1" x14ac:dyDescent="0.35">
      <c r="B1908" s="9"/>
      <c r="C1908" s="9"/>
      <c r="D1908" s="9"/>
      <c r="E1908" s="9"/>
      <c r="F1908" s="12"/>
      <c r="G1908" s="12"/>
      <c r="H1908" s="12"/>
      <c r="I1908" s="12"/>
      <c r="J1908" s="12"/>
      <c r="K1908" s="12"/>
      <c r="L1908" s="1"/>
    </row>
    <row r="1909" spans="1:16" ht="15.75" customHeight="1" x14ac:dyDescent="0.35">
      <c r="B1909" s="13"/>
      <c r="C1909" s="13"/>
      <c r="D1909" s="15"/>
      <c r="F1909" s="13"/>
      <c r="H1909" s="14" t="s">
        <v>255</v>
      </c>
      <c r="I1909" s="14"/>
    </row>
    <row r="1910" spans="1:16" x14ac:dyDescent="0.35">
      <c r="B1910" s="13" t="s">
        <v>5</v>
      </c>
      <c r="C1910" s="13" t="s">
        <v>1</v>
      </c>
      <c r="D1910" s="15" t="str">
        <f>VLOOKUP(A1911,Inventory!$A$4:$K$1139,7)</f>
        <v xml:space="preserve">Sweet Marias                       </v>
      </c>
      <c r="F1910" s="13" t="s">
        <v>235</v>
      </c>
      <c r="G1910" s="16"/>
      <c r="H1910" s="14" t="s">
        <v>256</v>
      </c>
      <c r="L1910" s="17"/>
      <c r="M1910" s="17"/>
    </row>
    <row r="1911" spans="1:16" x14ac:dyDescent="0.35">
      <c r="A1911">
        <v>156</v>
      </c>
      <c r="B1911" s="5">
        <v>44707</v>
      </c>
      <c r="C1911" s="15" t="str">
        <f>VLOOKUP(A1911,Inventory!$A$4:$K$1139,2)</f>
        <v>Rwanda Nyamasheke 2020 SWP Decaf</v>
      </c>
      <c r="F1911" s="18" t="s">
        <v>257</v>
      </c>
      <c r="G1911" s="2" t="s">
        <v>238</v>
      </c>
      <c r="L1911" s="17"/>
      <c r="M1911" s="17"/>
      <c r="P1911" s="8"/>
    </row>
    <row r="1912" spans="1:16" x14ac:dyDescent="0.35">
      <c r="K1912" s="12" t="s">
        <v>384</v>
      </c>
      <c r="L1912" s="54"/>
      <c r="M1912" s="9"/>
    </row>
    <row r="1913" spans="1:16" x14ac:dyDescent="0.35">
      <c r="C1913" s="11" t="s">
        <v>240</v>
      </c>
      <c r="D1913" s="11" t="s">
        <v>241</v>
      </c>
      <c r="E1913" s="11">
        <v>381</v>
      </c>
      <c r="F1913" s="11">
        <v>390</v>
      </c>
      <c r="G1913" s="11">
        <v>397</v>
      </c>
      <c r="H1913" s="11">
        <v>408</v>
      </c>
      <c r="I1913" s="11"/>
      <c r="J1913" s="11"/>
      <c r="K1913" s="11"/>
      <c r="L1913" s="11"/>
    </row>
    <row r="1914" spans="1:16" ht="15.75" customHeight="1" x14ac:dyDescent="0.35">
      <c r="B1914" s="20" t="s">
        <v>242</v>
      </c>
      <c r="C1914" s="30"/>
      <c r="D1914" s="30"/>
      <c r="E1914" s="23" t="s">
        <v>244</v>
      </c>
      <c r="F1914" s="23" t="s">
        <v>245</v>
      </c>
      <c r="G1914" s="23" t="s">
        <v>246</v>
      </c>
      <c r="H1914" s="23" t="s">
        <v>247</v>
      </c>
      <c r="I1914" s="23" t="s">
        <v>259</v>
      </c>
      <c r="J1914" s="23" t="s">
        <v>260</v>
      </c>
      <c r="K1914" s="23" t="s">
        <v>261</v>
      </c>
      <c r="O1914" s="4"/>
    </row>
    <row r="1915" spans="1:16" ht="1" customHeight="1" x14ac:dyDescent="0.35">
      <c r="B1915" s="24" t="s">
        <v>249</v>
      </c>
      <c r="C1915" s="25">
        <v>320</v>
      </c>
      <c r="D1915" s="25">
        <v>350</v>
      </c>
      <c r="E1915" s="25">
        <v>377</v>
      </c>
      <c r="F1915" s="25">
        <v>384</v>
      </c>
      <c r="G1915" s="25">
        <v>388</v>
      </c>
      <c r="H1915" s="25">
        <v>392</v>
      </c>
      <c r="I1915" s="25">
        <v>395</v>
      </c>
      <c r="J1915" s="25">
        <v>415</v>
      </c>
      <c r="K1915" s="25">
        <v>415</v>
      </c>
      <c r="O1915" t="e">
        <f>(O1913-3*O1912)/O1914</f>
        <v>#DIV/0!</v>
      </c>
    </row>
    <row r="1916" spans="1:16" ht="15.75" customHeight="1" x14ac:dyDescent="0.35">
      <c r="B1916" s="20" t="s">
        <v>250</v>
      </c>
      <c r="C1916" s="48">
        <v>0.19444444444444445</v>
      </c>
      <c r="D1916" s="48">
        <v>0.27083333333333331</v>
      </c>
      <c r="E1916" s="48">
        <v>0.41666666666666669</v>
      </c>
      <c r="F1916" s="26">
        <f>E1916+'Lookup Tables'!$N$1</f>
        <v>0.4375</v>
      </c>
      <c r="G1916" s="26">
        <f>F1916+'Lookup Tables'!$N$1</f>
        <v>0.45833333333333331</v>
      </c>
      <c r="H1916" s="26">
        <f>G1916+'Lookup Tables'!$N$1</f>
        <v>0.47916666666666663</v>
      </c>
      <c r="I1916" s="26">
        <f>H1916+'Lookup Tables'!$N$1</f>
        <v>0.49999999999999994</v>
      </c>
      <c r="J1916" s="26">
        <f>I1916+'Lookup Tables'!$M$1</f>
        <v>0.51041666666666663</v>
      </c>
      <c r="K1916" s="26">
        <f>J1916+'Lookup Tables'!$M$1</f>
        <v>0.52083333333333326</v>
      </c>
      <c r="N1916">
        <f>MAX(F1913:M1913)-O1916</f>
        <v>27</v>
      </c>
      <c r="O1916" t="str">
        <f>RIGHT(E1913,3)</f>
        <v>381</v>
      </c>
    </row>
    <row r="1917" spans="1:16" ht="15.75" customHeight="1" x14ac:dyDescent="0.35">
      <c r="B1917" s="20" t="s">
        <v>251</v>
      </c>
      <c r="C1917" s="27">
        <v>0.2</v>
      </c>
      <c r="D1917" s="27">
        <v>0.5</v>
      </c>
      <c r="E1917" s="27"/>
      <c r="F1917" s="27"/>
      <c r="G1917" s="27"/>
      <c r="H1917" s="27"/>
      <c r="I1917" s="27"/>
      <c r="J1917" s="27"/>
      <c r="K1917" s="25"/>
      <c r="N1917" t="str">
        <f xml:space="preserve">  N1916 &amp; " degrees this time"</f>
        <v>27 degrees this time</v>
      </c>
    </row>
    <row r="1918" spans="1:16" ht="15.75" customHeight="1" x14ac:dyDescent="0.35">
      <c r="B1918" s="20" t="s">
        <v>252</v>
      </c>
      <c r="C1918" s="27">
        <v>0.9</v>
      </c>
      <c r="D1918" s="27">
        <v>0.7</v>
      </c>
      <c r="E1918" s="27">
        <v>0.6</v>
      </c>
      <c r="F1918" s="27"/>
      <c r="G1918" s="27"/>
      <c r="H1918" s="27"/>
      <c r="I1918" s="27"/>
      <c r="J1918" s="27"/>
      <c r="K1918" s="27"/>
    </row>
    <row r="1919" spans="1:16" ht="15.75" customHeight="1" x14ac:dyDescent="0.35">
      <c r="B1919" s="20"/>
      <c r="D1919" s="11"/>
      <c r="E1919" s="11"/>
      <c r="F1919" s="28"/>
      <c r="H1919" s="1"/>
    </row>
    <row r="1920" spans="1:16" ht="15.75" customHeight="1" x14ac:dyDescent="0.35">
      <c r="B1920" s="1" t="s">
        <v>385</v>
      </c>
      <c r="F1920" t="s">
        <v>263</v>
      </c>
      <c r="G1920" s="1"/>
      <c r="K1920" s="9"/>
      <c r="L1920" s="9"/>
      <c r="M1920" s="9"/>
    </row>
    <row r="1921" spans="1:16" ht="15.75" customHeight="1" x14ac:dyDescent="0.35">
      <c r="B1921" s="20" t="s">
        <v>264</v>
      </c>
      <c r="D1921" s="29"/>
      <c r="F1921" t="s">
        <v>265</v>
      </c>
      <c r="G1921" s="1"/>
      <c r="H1921" s="1"/>
      <c r="K1921" s="9" t="s">
        <v>386</v>
      </c>
      <c r="L1921" s="9"/>
      <c r="M1921" s="9"/>
    </row>
    <row r="1922" spans="1:16" ht="15.75" customHeight="1" x14ac:dyDescent="0.35">
      <c r="B1922" s="20" t="s">
        <v>267</v>
      </c>
      <c r="F1922" t="s">
        <v>268</v>
      </c>
      <c r="G1922" s="1"/>
      <c r="H1922" s="1"/>
      <c r="K1922" s="9" t="s">
        <v>254</v>
      </c>
      <c r="L1922" s="9"/>
      <c r="M1922" s="9"/>
    </row>
    <row r="1923" spans="1:16" ht="15.75" customHeight="1" x14ac:dyDescent="0.35">
      <c r="B1923" s="9"/>
      <c r="C1923" s="9"/>
      <c r="D1923" s="9"/>
      <c r="E1923" s="9"/>
      <c r="F1923" s="12"/>
      <c r="G1923" s="12"/>
      <c r="H1923" s="12"/>
      <c r="I1923" s="12"/>
      <c r="J1923" s="12"/>
      <c r="K1923" s="12"/>
      <c r="L1923" s="1"/>
    </row>
    <row r="1924" spans="1:16" ht="15.75" customHeight="1" x14ac:dyDescent="0.35">
      <c r="B1924" s="13"/>
      <c r="C1924" s="13"/>
      <c r="D1924" s="13"/>
      <c r="E1924" s="13"/>
      <c r="F1924" s="13"/>
      <c r="G1924" s="13"/>
      <c r="H1924" s="13"/>
      <c r="I1924" s="13"/>
    </row>
    <row r="1925" spans="1:16" x14ac:dyDescent="0.35">
      <c r="B1925" s="13" t="s">
        <v>5</v>
      </c>
      <c r="C1925" s="13" t="s">
        <v>1</v>
      </c>
      <c r="D1925" s="15" t="str">
        <f>VLOOKUP(A1926,Inventory!$A$4:$K$1139,7)</f>
        <v>Coffee Bean corral</v>
      </c>
      <c r="F1925" s="13" t="s">
        <v>235</v>
      </c>
      <c r="G1925" s="16"/>
      <c r="L1925" s="17"/>
      <c r="M1925" s="17"/>
    </row>
    <row r="1926" spans="1:16" x14ac:dyDescent="0.35">
      <c r="A1926">
        <v>152</v>
      </c>
      <c r="B1926" s="5">
        <v>44696</v>
      </c>
      <c r="C1926" s="15" t="str">
        <f>VLOOKUP(A1926,Inventory!$A$4:$K$1139,2)</f>
        <v>Nicaragua Organic Jinotega Finca La Isabelia 2018</v>
      </c>
      <c r="E1926" s="11"/>
      <c r="F1926" s="34" t="s">
        <v>279</v>
      </c>
      <c r="G1926" s="2" t="s">
        <v>286</v>
      </c>
      <c r="L1926" s="17"/>
      <c r="M1926" s="17"/>
      <c r="P1926" s="8"/>
    </row>
    <row r="1927" spans="1:16" x14ac:dyDescent="0.35">
      <c r="D1927" s="11"/>
      <c r="E1927" s="11"/>
      <c r="G1927" s="16"/>
      <c r="L1927" s="19"/>
      <c r="M1927" s="19"/>
    </row>
    <row r="1928" spans="1:16" x14ac:dyDescent="0.35">
      <c r="B1928" s="20"/>
      <c r="C1928" s="11" t="s">
        <v>240</v>
      </c>
      <c r="D1928" s="11" t="s">
        <v>395</v>
      </c>
      <c r="E1928" s="11">
        <v>362</v>
      </c>
      <c r="F1928" s="11">
        <v>374</v>
      </c>
      <c r="G1928" s="11">
        <v>381</v>
      </c>
      <c r="H1928" s="11">
        <v>385</v>
      </c>
      <c r="I1928" s="11" t="s">
        <v>416</v>
      </c>
      <c r="J1928" s="11"/>
      <c r="K1928" s="28"/>
      <c r="L1928" s="28"/>
    </row>
    <row r="1929" spans="1:16" ht="15.75" customHeight="1" x14ac:dyDescent="0.35">
      <c r="B1929" s="20" t="s">
        <v>242</v>
      </c>
      <c r="C1929" s="21"/>
      <c r="D1929" s="22" t="s">
        <v>294</v>
      </c>
      <c r="E1929" s="23" t="s">
        <v>244</v>
      </c>
      <c r="F1929" s="23" t="s">
        <v>245</v>
      </c>
      <c r="G1929" s="23" t="s">
        <v>246</v>
      </c>
      <c r="H1929" s="23" t="s">
        <v>247</v>
      </c>
      <c r="O1929" s="4"/>
    </row>
    <row r="1930" spans="1:16" ht="1" customHeight="1" x14ac:dyDescent="0.35">
      <c r="B1930" s="24" t="s">
        <v>249</v>
      </c>
      <c r="C1930" s="25"/>
      <c r="D1930" s="25"/>
      <c r="E1930" s="25"/>
      <c r="F1930" s="25"/>
      <c r="G1930" s="25"/>
      <c r="H1930" s="25"/>
      <c r="O1930" t="e">
        <f>(O1928-3*O1927)/O1929</f>
        <v>#DIV/0!</v>
      </c>
    </row>
    <row r="1931" spans="1:16" ht="15.75" customHeight="1" x14ac:dyDescent="0.35">
      <c r="B1931" s="20" t="s">
        <v>250</v>
      </c>
      <c r="C1931" s="26">
        <v>0.23611111111111113</v>
      </c>
      <c r="D1931" s="26">
        <v>0.3125</v>
      </c>
      <c r="E1931" s="26">
        <v>0.41666666666666669</v>
      </c>
      <c r="F1931" s="26">
        <f>E1931+'Lookup Tables'!$N$1</f>
        <v>0.4375</v>
      </c>
      <c r="G1931" s="26">
        <f>F1931+'Lookup Tables'!$N$1</f>
        <v>0.45833333333333331</v>
      </c>
      <c r="H1931" s="26">
        <f>G1931+'Lookup Tables'!$N$1</f>
        <v>0.47916666666666663</v>
      </c>
      <c r="I1931" s="11"/>
      <c r="J1931" s="11"/>
      <c r="K1931" s="11"/>
      <c r="N1931">
        <f>MAX(F1928:M1928)-O1931</f>
        <v>23</v>
      </c>
      <c r="O1931" t="str">
        <f>RIGHT(E1928,3)</f>
        <v>362</v>
      </c>
    </row>
    <row r="1932" spans="1:16" ht="15.75" customHeight="1" x14ac:dyDescent="0.35">
      <c r="B1932" s="20" t="s">
        <v>251</v>
      </c>
      <c r="C1932" s="27">
        <v>0.2</v>
      </c>
      <c r="D1932" s="27">
        <v>0.5</v>
      </c>
      <c r="E1932" s="27"/>
      <c r="F1932" s="27"/>
      <c r="G1932" s="27" t="s">
        <v>274</v>
      </c>
      <c r="H1932" s="27"/>
      <c r="N1932" t="str">
        <f xml:space="preserve">  N1931 &amp; " degrees this time"</f>
        <v>23 degrees this time</v>
      </c>
    </row>
    <row r="1933" spans="1:16" ht="15.75" customHeight="1" x14ac:dyDescent="0.35">
      <c r="B1933" s="20" t="s">
        <v>252</v>
      </c>
      <c r="C1933" s="27">
        <v>0.9</v>
      </c>
      <c r="D1933" s="27">
        <v>0.7</v>
      </c>
      <c r="E1933" s="27">
        <v>0.6</v>
      </c>
      <c r="F1933" s="27"/>
      <c r="G1933" s="27"/>
      <c r="H1933" s="27" t="s">
        <v>275</v>
      </c>
    </row>
    <row r="1934" spans="1:16" ht="15.75" customHeight="1" x14ac:dyDescent="0.35">
      <c r="B1934" s="20"/>
      <c r="D1934" s="11"/>
      <c r="E1934" s="11"/>
      <c r="F1934" s="11"/>
      <c r="H1934" s="55"/>
    </row>
    <row r="1935" spans="1:16" ht="15.75" customHeight="1" x14ac:dyDescent="0.35">
      <c r="B1935" s="20"/>
      <c r="G1935" s="1" t="s">
        <v>396</v>
      </c>
      <c r="K1935" s="32" t="s">
        <v>345</v>
      </c>
      <c r="L1935" s="9"/>
      <c r="M1935" s="9"/>
    </row>
    <row r="1936" spans="1:16" ht="15.75" customHeight="1" x14ac:dyDescent="0.35">
      <c r="B1936" s="30" t="s">
        <v>397</v>
      </c>
      <c r="G1936" s="1"/>
      <c r="H1936" s="1"/>
      <c r="K1936" s="32"/>
      <c r="L1936" s="9"/>
      <c r="M1936" s="9"/>
    </row>
    <row r="1937" spans="1:16" ht="15.75" customHeight="1" x14ac:dyDescent="0.35">
      <c r="B1937" s="30"/>
      <c r="G1937" s="1"/>
      <c r="H1937" s="1"/>
      <c r="K1937" s="32" t="s">
        <v>254</v>
      </c>
      <c r="L1937" s="9"/>
      <c r="M1937" s="9"/>
    </row>
    <row r="1938" spans="1:16" ht="15.75" customHeight="1" x14ac:dyDescent="0.35">
      <c r="B1938" s="9"/>
      <c r="C1938" s="9"/>
      <c r="D1938" s="9"/>
      <c r="E1938" s="9"/>
      <c r="F1938" s="12"/>
      <c r="G1938" s="12"/>
      <c r="H1938" s="12"/>
      <c r="I1938" s="12"/>
      <c r="J1938" s="12"/>
      <c r="K1938" s="12"/>
      <c r="L1938" s="1"/>
    </row>
    <row r="1939" spans="1:16" ht="15.75" customHeight="1" x14ac:dyDescent="0.35">
      <c r="B1939" s="13"/>
      <c r="C1939" s="13"/>
      <c r="D1939" s="13"/>
      <c r="E1939" s="13"/>
      <c r="F1939" s="33" t="s">
        <v>360</v>
      </c>
      <c r="G1939" s="13"/>
      <c r="H1939" s="14" t="s">
        <v>255</v>
      </c>
      <c r="I1939" s="13"/>
    </row>
    <row r="1940" spans="1:16" x14ac:dyDescent="0.35">
      <c r="B1940" s="13" t="s">
        <v>5</v>
      </c>
      <c r="C1940" s="13" t="s">
        <v>1</v>
      </c>
      <c r="D1940" s="15" t="str">
        <f>VLOOKUP(A1941,Inventory!$A$4:$K$1139,7)</f>
        <v xml:space="preserve">Klatch                             </v>
      </c>
      <c r="F1940" s="13" t="s">
        <v>235</v>
      </c>
      <c r="G1940" s="16"/>
      <c r="L1940" s="17"/>
      <c r="M1940" s="17"/>
    </row>
    <row r="1941" spans="1:16" x14ac:dyDescent="0.35">
      <c r="A1941">
        <v>166</v>
      </c>
      <c r="B1941" s="5">
        <v>44696</v>
      </c>
      <c r="C1941" s="15" t="str">
        <f>VLOOKUP(A1941,Inventory!$A$4:$K$1139,2)</f>
        <v>Panama Elida Natural 2020</v>
      </c>
      <c r="F1941" s="31" t="s">
        <v>291</v>
      </c>
      <c r="G1941" s="2" t="s">
        <v>270</v>
      </c>
      <c r="L1941" s="17"/>
      <c r="M1941" s="17"/>
      <c r="P1941" s="8"/>
    </row>
    <row r="1942" spans="1:16" x14ac:dyDescent="0.35">
      <c r="F1942" s="13"/>
      <c r="G1942" s="16"/>
      <c r="L1942" s="19"/>
      <c r="M1942" s="19"/>
    </row>
    <row r="1943" spans="1:16" x14ac:dyDescent="0.35">
      <c r="B1943" s="20"/>
      <c r="C1943" s="11" t="s">
        <v>240</v>
      </c>
      <c r="D1943" s="11" t="s">
        <v>272</v>
      </c>
      <c r="E1943" s="11">
        <v>366</v>
      </c>
      <c r="F1943" s="11">
        <v>375</v>
      </c>
      <c r="G1943" s="11">
        <v>383</v>
      </c>
      <c r="H1943" s="11" t="s">
        <v>417</v>
      </c>
      <c r="I1943" s="11"/>
      <c r="J1943" s="11"/>
      <c r="K1943" s="28"/>
      <c r="L1943" s="28"/>
    </row>
    <row r="1944" spans="1:16" ht="15.75" customHeight="1" x14ac:dyDescent="0.35">
      <c r="B1944" s="20" t="s">
        <v>242</v>
      </c>
      <c r="C1944" s="30"/>
      <c r="D1944" s="30"/>
      <c r="E1944" s="23" t="s">
        <v>244</v>
      </c>
      <c r="F1944" s="23" t="s">
        <v>245</v>
      </c>
      <c r="G1944" s="23" t="s">
        <v>246</v>
      </c>
      <c r="H1944" s="23" t="s">
        <v>273</v>
      </c>
      <c r="O1944" s="4"/>
    </row>
    <row r="1945" spans="1:16" ht="1" customHeight="1" x14ac:dyDescent="0.35">
      <c r="B1945" s="24" t="s">
        <v>249</v>
      </c>
      <c r="C1945" s="25"/>
      <c r="D1945" s="25"/>
      <c r="E1945" s="25"/>
      <c r="F1945" s="25"/>
      <c r="G1945" s="25"/>
      <c r="H1945" s="25"/>
      <c r="O1945" t="e">
        <f>(O1943-3*O1942)/O1944</f>
        <v>#DIV/0!</v>
      </c>
    </row>
    <row r="1946" spans="1:16" ht="15.75" customHeight="1" x14ac:dyDescent="0.35">
      <c r="B1946" s="20" t="s">
        <v>250</v>
      </c>
      <c r="C1946" s="26">
        <v>0.20833333333333334</v>
      </c>
      <c r="D1946" s="26">
        <v>0.2951388888888889</v>
      </c>
      <c r="E1946" s="26">
        <v>0.36805555555555558</v>
      </c>
      <c r="F1946" s="26">
        <f>E1946+'Lookup Tables'!$N$1</f>
        <v>0.3888888888888889</v>
      </c>
      <c r="G1946" s="26">
        <f>F1946+'Lookup Tables'!$N$1</f>
        <v>0.40972222222222221</v>
      </c>
      <c r="H1946" s="26">
        <f>G1946+'Lookup Tables'!$S$1</f>
        <v>0.4201388888888889</v>
      </c>
      <c r="N1946">
        <f>MAX(F1943:M1943)-O1946</f>
        <v>17</v>
      </c>
      <c r="O1946" t="str">
        <f>RIGHT(E1943,3)</f>
        <v>366</v>
      </c>
    </row>
    <row r="1947" spans="1:16" ht="15.75" customHeight="1" x14ac:dyDescent="0.35">
      <c r="B1947" s="20" t="s">
        <v>251</v>
      </c>
      <c r="C1947" s="27">
        <v>0.2</v>
      </c>
      <c r="D1947" s="27">
        <v>0.5</v>
      </c>
      <c r="E1947" s="27">
        <v>0.5</v>
      </c>
      <c r="F1947" s="27" t="s">
        <v>274</v>
      </c>
      <c r="G1947" s="27"/>
      <c r="H1947" s="25"/>
      <c r="N1947" t="str">
        <f xml:space="preserve">  N1946 &amp; " degrees this time"</f>
        <v>17 degrees this time</v>
      </c>
    </row>
    <row r="1948" spans="1:16" ht="15.75" customHeight="1" x14ac:dyDescent="0.35">
      <c r="B1948" s="20" t="s">
        <v>252</v>
      </c>
      <c r="C1948" s="27">
        <v>0.9</v>
      </c>
      <c r="D1948" s="27">
        <v>0.7</v>
      </c>
      <c r="E1948" s="27">
        <v>0.6</v>
      </c>
      <c r="F1948" s="27" t="s">
        <v>274</v>
      </c>
      <c r="G1948" s="27"/>
      <c r="H1948" s="27" t="s">
        <v>275</v>
      </c>
    </row>
    <row r="1949" spans="1:16" ht="15.75" customHeight="1" x14ac:dyDescent="0.35">
      <c r="B1949" s="20"/>
      <c r="D1949" s="11"/>
      <c r="E1949" s="11"/>
      <c r="F1949" s="11"/>
    </row>
    <row r="1950" spans="1:16" ht="15.75" customHeight="1" x14ac:dyDescent="0.35">
      <c r="B1950" s="20"/>
      <c r="C1950" s="30"/>
      <c r="D1950" s="11"/>
      <c r="E1950" s="11"/>
      <c r="F1950" s="11"/>
      <c r="G1950" s="1" t="s">
        <v>276</v>
      </c>
      <c r="K1950" s="32" t="s">
        <v>378</v>
      </c>
      <c r="L1950" s="9"/>
      <c r="M1950" s="9"/>
    </row>
    <row r="1951" spans="1:16" ht="15.75" customHeight="1" x14ac:dyDescent="0.35">
      <c r="B1951" s="20"/>
      <c r="G1951" s="1"/>
      <c r="H1951" s="1"/>
      <c r="K1951" s="9"/>
      <c r="L1951" s="9"/>
      <c r="M1951" s="9"/>
    </row>
    <row r="1952" spans="1:16" ht="15.75" customHeight="1" x14ac:dyDescent="0.35">
      <c r="B1952" s="20"/>
      <c r="G1952" s="1"/>
      <c r="H1952" s="1"/>
      <c r="K1952" s="32" t="s">
        <v>277</v>
      </c>
      <c r="L1952" s="9"/>
      <c r="M1952" s="9"/>
    </row>
    <row r="1953" spans="1:16" ht="15.75" customHeight="1" x14ac:dyDescent="0.35">
      <c r="B1953" s="9"/>
      <c r="C1953" s="9"/>
      <c r="D1953" s="9"/>
      <c r="E1953" s="9"/>
      <c r="F1953" s="12"/>
      <c r="G1953" s="12"/>
      <c r="H1953" s="12"/>
      <c r="I1953" s="12"/>
      <c r="J1953" s="12"/>
      <c r="K1953" s="12"/>
      <c r="L1953" s="1"/>
    </row>
    <row r="1954" spans="1:16" ht="15.75" customHeight="1" x14ac:dyDescent="0.35">
      <c r="B1954" s="13"/>
      <c r="C1954" s="13"/>
      <c r="D1954" s="15"/>
      <c r="G1954" s="16"/>
      <c r="H1954" s="14" t="s">
        <v>255</v>
      </c>
    </row>
    <row r="1955" spans="1:16" x14ac:dyDescent="0.35">
      <c r="B1955" s="13" t="s">
        <v>5</v>
      </c>
      <c r="C1955" s="13" t="s">
        <v>1</v>
      </c>
      <c r="D1955" s="15" t="str">
        <f>VLOOKUP(A1956,Inventory!$A$4:$K$1139,7)</f>
        <v>Leverhead Coffee</v>
      </c>
      <c r="F1955" s="13" t="s">
        <v>235</v>
      </c>
      <c r="G1955" s="16"/>
      <c r="L1955" s="17"/>
      <c r="M1955" s="17"/>
    </row>
    <row r="1956" spans="1:16" x14ac:dyDescent="0.35">
      <c r="A1956">
        <v>159</v>
      </c>
      <c r="B1956" s="5">
        <v>44696</v>
      </c>
      <c r="C1956" s="15" t="str">
        <f>VLOOKUP(A1956,Inventory!$A$4:$K$1139,2)</f>
        <v>Rwanda Abakundakawa 2020</v>
      </c>
      <c r="F1956" s="31" t="s">
        <v>291</v>
      </c>
      <c r="G1956" s="2" t="s">
        <v>270</v>
      </c>
      <c r="L1956" s="17"/>
      <c r="M1956" s="17"/>
      <c r="P1956" s="8"/>
    </row>
    <row r="1957" spans="1:16" x14ac:dyDescent="0.35">
      <c r="L1957" s="19"/>
      <c r="M1957" s="19"/>
    </row>
    <row r="1958" spans="1:16" x14ac:dyDescent="0.35">
      <c r="B1958" s="20"/>
      <c r="C1958" s="11" t="s">
        <v>240</v>
      </c>
      <c r="D1958" s="11" t="s">
        <v>241</v>
      </c>
      <c r="E1958" s="11">
        <v>363</v>
      </c>
      <c r="F1958" s="11">
        <v>370</v>
      </c>
      <c r="G1958" s="11">
        <v>375</v>
      </c>
      <c r="H1958" s="11">
        <v>384</v>
      </c>
      <c r="I1958" s="11">
        <v>390</v>
      </c>
      <c r="J1958" s="11"/>
      <c r="K1958" s="28"/>
      <c r="L1958" s="28"/>
    </row>
    <row r="1959" spans="1:16" ht="15.75" customHeight="1" x14ac:dyDescent="0.35">
      <c r="A1959" t="s">
        <v>16</v>
      </c>
      <c r="B1959" s="20" t="s">
        <v>242</v>
      </c>
      <c r="C1959" s="30"/>
      <c r="D1959" s="30"/>
      <c r="E1959" s="23" t="s">
        <v>244</v>
      </c>
      <c r="F1959" s="23" t="s">
        <v>245</v>
      </c>
      <c r="G1959" s="23" t="s">
        <v>246</v>
      </c>
      <c r="H1959" s="23" t="s">
        <v>247</v>
      </c>
      <c r="I1959" s="23" t="s">
        <v>248</v>
      </c>
      <c r="O1959" s="4"/>
    </row>
    <row r="1960" spans="1:16" ht="1" customHeight="1" x14ac:dyDescent="0.35">
      <c r="B1960" s="24" t="s">
        <v>249</v>
      </c>
      <c r="C1960" s="25"/>
      <c r="D1960" s="25"/>
      <c r="E1960" s="25">
        <v>388</v>
      </c>
      <c r="F1960" s="25">
        <v>393</v>
      </c>
      <c r="G1960" s="25">
        <v>397</v>
      </c>
      <c r="H1960" s="25">
        <v>401</v>
      </c>
      <c r="I1960" s="25"/>
      <c r="J1960" t="s">
        <v>280</v>
      </c>
      <c r="K1960" t="s">
        <v>280</v>
      </c>
      <c r="O1960" t="e">
        <f>(O1958-3*O1957)/O1959</f>
        <v>#DIV/0!</v>
      </c>
    </row>
    <row r="1961" spans="1:16" ht="15.75" customHeight="1" x14ac:dyDescent="0.35">
      <c r="B1961" s="20" t="s">
        <v>250</v>
      </c>
      <c r="C1961" s="26">
        <v>0.21180555555555555</v>
      </c>
      <c r="D1961" s="26">
        <v>0.29166666666666669</v>
      </c>
      <c r="E1961" s="26">
        <v>0.375</v>
      </c>
      <c r="F1961" s="26">
        <f>E1961+'Lookup Tables'!$N$1</f>
        <v>0.39583333333333331</v>
      </c>
      <c r="G1961" s="26">
        <f>F1961+'Lookup Tables'!$N$1</f>
        <v>0.41666666666666663</v>
      </c>
      <c r="H1961" s="26">
        <f>G1961+'Lookup Tables'!$N$1</f>
        <v>0.43749999999999994</v>
      </c>
      <c r="I1961" s="26">
        <f>H1961+'Lookup Tables'!$S$1</f>
        <v>0.44791666666666663</v>
      </c>
      <c r="N1961">
        <f>MAX(F1958:M1958)-O1961</f>
        <v>27</v>
      </c>
      <c r="O1961" t="str">
        <f>RIGHT(E1958,3)</f>
        <v>363</v>
      </c>
    </row>
    <row r="1962" spans="1:16" ht="15.75" customHeight="1" x14ac:dyDescent="0.35">
      <c r="B1962" s="20" t="s">
        <v>251</v>
      </c>
      <c r="C1962" s="27">
        <v>0.2</v>
      </c>
      <c r="D1962" s="27">
        <v>0.5</v>
      </c>
      <c r="E1962" s="27"/>
      <c r="F1962" s="27"/>
      <c r="G1962" s="27"/>
      <c r="H1962" s="27" t="s">
        <v>274</v>
      </c>
      <c r="I1962" s="27"/>
      <c r="N1962" t="str">
        <f xml:space="preserve">  N1961 &amp; " degrees this time"</f>
        <v>27 degrees this time</v>
      </c>
    </row>
    <row r="1963" spans="1:16" ht="15.75" customHeight="1" x14ac:dyDescent="0.35">
      <c r="B1963" s="20" t="s">
        <v>252</v>
      </c>
      <c r="C1963" s="27">
        <v>0.9</v>
      </c>
      <c r="D1963" s="27">
        <v>0.8</v>
      </c>
      <c r="E1963" s="27">
        <v>0.6</v>
      </c>
      <c r="F1963" s="27">
        <v>0.5</v>
      </c>
      <c r="G1963" s="27">
        <v>0.3</v>
      </c>
      <c r="H1963" s="27" t="s">
        <v>274</v>
      </c>
      <c r="I1963" s="27" t="s">
        <v>275</v>
      </c>
    </row>
    <row r="1964" spans="1:16" ht="15.75" customHeight="1" x14ac:dyDescent="0.35">
      <c r="B1964" s="20"/>
      <c r="C1964" s="30"/>
      <c r="D1964" s="11"/>
      <c r="E1964" s="11"/>
      <c r="F1964" s="11"/>
      <c r="H1964" s="1"/>
      <c r="J1964" s="35"/>
    </row>
    <row r="1965" spans="1:16" ht="15.75" customHeight="1" x14ac:dyDescent="0.35">
      <c r="G1965" s="1" t="s">
        <v>418</v>
      </c>
      <c r="K1965" s="32" t="s">
        <v>419</v>
      </c>
      <c r="L1965" s="9"/>
      <c r="M1965" s="9"/>
    </row>
    <row r="1966" spans="1:16" ht="15.75" customHeight="1" x14ac:dyDescent="0.35">
      <c r="B1966" s="20"/>
      <c r="G1966" s="1"/>
      <c r="H1966" s="1"/>
      <c r="K1966" s="32"/>
      <c r="L1966" s="9"/>
      <c r="M1966" s="9"/>
    </row>
    <row r="1967" spans="1:16" ht="15.75" customHeight="1" x14ac:dyDescent="0.35">
      <c r="B1967" s="20"/>
      <c r="G1967" s="1"/>
      <c r="H1967" s="1"/>
      <c r="K1967" s="32" t="s">
        <v>254</v>
      </c>
      <c r="L1967" s="9"/>
      <c r="M1967" s="9"/>
    </row>
    <row r="1968" spans="1:16" ht="15.75" customHeight="1" x14ac:dyDescent="0.35">
      <c r="B1968" s="9"/>
      <c r="C1968" s="9"/>
      <c r="D1968" s="9"/>
      <c r="E1968" s="9"/>
      <c r="F1968" s="12"/>
      <c r="G1968" s="12"/>
      <c r="H1968" s="12"/>
      <c r="I1968" s="12"/>
      <c r="J1968" s="12"/>
      <c r="K1968" s="12"/>
      <c r="L1968" s="1"/>
    </row>
    <row r="1969" spans="1:16" ht="15.75" customHeight="1" x14ac:dyDescent="0.35">
      <c r="B1969" s="13"/>
      <c r="C1969" s="13"/>
      <c r="D1969" s="13"/>
      <c r="E1969" s="13"/>
      <c r="F1969" s="13"/>
      <c r="G1969" s="13"/>
      <c r="I1969" s="14"/>
    </row>
    <row r="1970" spans="1:16" x14ac:dyDescent="0.35">
      <c r="B1970" s="13" t="s">
        <v>5</v>
      </c>
      <c r="C1970" s="13" t="s">
        <v>1</v>
      </c>
      <c r="D1970" s="15" t="str">
        <f>VLOOKUP(A1971,Inventory!$A$4:$K$1139,7)</f>
        <v xml:space="preserve">Klatch                             </v>
      </c>
      <c r="F1970" s="13" t="s">
        <v>235</v>
      </c>
      <c r="G1970" s="16"/>
      <c r="L1970" s="17"/>
      <c r="M1970" s="17"/>
    </row>
    <row r="1971" spans="1:16" x14ac:dyDescent="0.35">
      <c r="A1971">
        <v>162</v>
      </c>
      <c r="B1971" s="5">
        <v>44696</v>
      </c>
      <c r="C1971" s="15" t="str">
        <f>VLOOKUP(A1971,Inventory!$A$4:$K$1139,2)</f>
        <v>El Salvador Las Mercedes Caturra 2020</v>
      </c>
      <c r="F1971" s="34" t="s">
        <v>279</v>
      </c>
      <c r="G1971" s="2" t="s">
        <v>270</v>
      </c>
      <c r="L1971" s="17"/>
      <c r="M1971" s="17"/>
      <c r="P1971" s="8"/>
    </row>
    <row r="1972" spans="1:16" x14ac:dyDescent="0.35">
      <c r="L1972" s="19"/>
      <c r="M1972" s="19"/>
    </row>
    <row r="1973" spans="1:16" x14ac:dyDescent="0.35">
      <c r="B1973" s="20"/>
      <c r="C1973" s="11" t="s">
        <v>240</v>
      </c>
      <c r="D1973" s="11" t="s">
        <v>272</v>
      </c>
      <c r="E1973" s="11">
        <v>362</v>
      </c>
      <c r="F1973" s="11">
        <v>370</v>
      </c>
      <c r="G1973" s="11">
        <v>378</v>
      </c>
      <c r="H1973" s="11">
        <v>386</v>
      </c>
      <c r="I1973" s="11"/>
      <c r="J1973" s="11"/>
      <c r="K1973" s="28"/>
      <c r="L1973" s="28"/>
    </row>
    <row r="1974" spans="1:16" ht="15.75" customHeight="1" x14ac:dyDescent="0.35">
      <c r="B1974" s="20" t="s">
        <v>242</v>
      </c>
      <c r="C1974" s="21"/>
      <c r="D1974" s="22" t="s">
        <v>294</v>
      </c>
      <c r="E1974" s="23" t="s">
        <v>244</v>
      </c>
      <c r="F1974" s="23" t="s">
        <v>245</v>
      </c>
      <c r="G1974" s="23" t="s">
        <v>246</v>
      </c>
      <c r="H1974" s="23" t="s">
        <v>247</v>
      </c>
      <c r="O1974" s="4"/>
    </row>
    <row r="1975" spans="1:16" ht="1" customHeight="1" x14ac:dyDescent="0.35">
      <c r="B1975" s="24" t="s">
        <v>249</v>
      </c>
      <c r="C1975" s="25"/>
      <c r="D1975" s="25"/>
      <c r="E1975" s="25">
        <v>384</v>
      </c>
      <c r="F1975" s="25">
        <v>392</v>
      </c>
      <c r="G1975" s="25">
        <v>395</v>
      </c>
      <c r="H1975" s="25"/>
      <c r="O1975" t="e">
        <f>(O1973-3*O1972)/O1974</f>
        <v>#DIV/0!</v>
      </c>
    </row>
    <row r="1976" spans="1:16" ht="15.75" customHeight="1" x14ac:dyDescent="0.35">
      <c r="B1976" s="20" t="s">
        <v>250</v>
      </c>
      <c r="C1976" s="26">
        <v>0.22222222222222221</v>
      </c>
      <c r="D1976" s="26">
        <v>0.30902777777777779</v>
      </c>
      <c r="E1976" s="26">
        <v>0.36805555555555558</v>
      </c>
      <c r="F1976" s="26">
        <f>E1976+'Lookup Tables'!$N$1</f>
        <v>0.3888888888888889</v>
      </c>
      <c r="G1976" s="26">
        <f>F1976+'Lookup Tables'!$N$1</f>
        <v>0.40972222222222221</v>
      </c>
      <c r="H1976" s="26">
        <f>G1976+'Lookup Tables'!$N$1</f>
        <v>0.43055555555555552</v>
      </c>
      <c r="N1976">
        <f>MAX(F1973:M1973)-O1976</f>
        <v>24</v>
      </c>
      <c r="O1976" t="str">
        <f>RIGHT(E1973,3)</f>
        <v>362</v>
      </c>
    </row>
    <row r="1977" spans="1:16" ht="15.75" customHeight="1" x14ac:dyDescent="0.35">
      <c r="B1977" s="20" t="s">
        <v>251</v>
      </c>
      <c r="C1977" s="27">
        <v>0.2</v>
      </c>
      <c r="D1977" s="27">
        <v>0.5</v>
      </c>
      <c r="E1977" s="27"/>
      <c r="F1977" s="27" t="s">
        <v>274</v>
      </c>
      <c r="G1977" s="27"/>
      <c r="H1977" s="27"/>
      <c r="N1977" t="str">
        <f xml:space="preserve">  N1976 &amp; " degrees this time"</f>
        <v>24 degrees this time</v>
      </c>
    </row>
    <row r="1978" spans="1:16" ht="15.75" customHeight="1" x14ac:dyDescent="0.35">
      <c r="B1978" s="20" t="s">
        <v>252</v>
      </c>
      <c r="C1978" s="27">
        <v>0.9</v>
      </c>
      <c r="D1978" s="27">
        <v>0.8</v>
      </c>
      <c r="E1978" s="27">
        <v>0.5</v>
      </c>
      <c r="F1978" s="27" t="s">
        <v>274</v>
      </c>
      <c r="G1978" s="27"/>
      <c r="H1978" s="27" t="s">
        <v>275</v>
      </c>
    </row>
    <row r="1979" spans="1:16" ht="15.75" customHeight="1" x14ac:dyDescent="0.35">
      <c r="B1979" s="20"/>
      <c r="C1979" s="30"/>
      <c r="H1979" s="13"/>
      <c r="I1979" s="13"/>
      <c r="J1979" s="35"/>
    </row>
    <row r="1980" spans="1:16" ht="15.75" customHeight="1" x14ac:dyDescent="0.35">
      <c r="C1980" s="30"/>
      <c r="G1980" s="1" t="s">
        <v>344</v>
      </c>
      <c r="K1980" s="32" t="s">
        <v>345</v>
      </c>
      <c r="L1980" s="9"/>
      <c r="M1980" s="9"/>
    </row>
    <row r="1981" spans="1:16" ht="15.75" customHeight="1" x14ac:dyDescent="0.35">
      <c r="B1981" s="20"/>
      <c r="G1981" s="1"/>
      <c r="H1981" s="1"/>
      <c r="K1981" s="32"/>
      <c r="L1981" s="9"/>
      <c r="M1981" s="9"/>
    </row>
    <row r="1982" spans="1:16" ht="15.75" customHeight="1" x14ac:dyDescent="0.35">
      <c r="B1982" s="20"/>
      <c r="G1982" s="1"/>
      <c r="H1982" s="1"/>
      <c r="K1982" s="32" t="s">
        <v>277</v>
      </c>
      <c r="L1982" s="9"/>
      <c r="M1982" s="9"/>
    </row>
    <row r="1983" spans="1:16" ht="15.75" customHeight="1" x14ac:dyDescent="0.35">
      <c r="B1983" s="9"/>
      <c r="C1983" s="9"/>
      <c r="D1983" s="9"/>
      <c r="E1983" s="9"/>
      <c r="F1983" s="12"/>
      <c r="G1983" s="12"/>
      <c r="H1983" s="12"/>
      <c r="I1983" s="12"/>
      <c r="J1983" s="12"/>
      <c r="K1983" s="12"/>
      <c r="L1983" s="1"/>
    </row>
    <row r="1984" spans="1:16" ht="15.75" customHeight="1" x14ac:dyDescent="0.35">
      <c r="B1984" s="13"/>
      <c r="C1984" s="13"/>
      <c r="D1984" s="15"/>
      <c r="G1984" s="16"/>
      <c r="I1984" s="14"/>
    </row>
    <row r="1985" spans="1:16" x14ac:dyDescent="0.35">
      <c r="B1985" s="13" t="s">
        <v>5</v>
      </c>
      <c r="C1985" s="13" t="s">
        <v>1</v>
      </c>
      <c r="D1985" s="15" t="str">
        <f>VLOOKUP(A1986,Inventory!$A$4:$K$1139,7)</f>
        <v>Coffee Bean corral</v>
      </c>
      <c r="F1985" s="13" t="s">
        <v>235</v>
      </c>
      <c r="G1985" s="16"/>
      <c r="H1985" s="14" t="s">
        <v>236</v>
      </c>
      <c r="L1985" s="17"/>
      <c r="M1985" s="17"/>
    </row>
    <row r="1986" spans="1:16" x14ac:dyDescent="0.35">
      <c r="A1986">
        <v>151</v>
      </c>
      <c r="B1986" s="5">
        <v>44632</v>
      </c>
      <c r="C1986" s="15" t="str">
        <f>VLOOKUP(A1986,Inventory!$A$4:$K$1139,2)</f>
        <v>Yemen Mocca Ismaili Natural 2018</v>
      </c>
      <c r="F1986" s="34" t="s">
        <v>279</v>
      </c>
      <c r="G1986" s="2" t="s">
        <v>286</v>
      </c>
      <c r="L1986" s="17"/>
      <c r="M1986" s="17"/>
      <c r="P1986" s="8"/>
    </row>
    <row r="1987" spans="1:16" x14ac:dyDescent="0.35">
      <c r="B1987" t="s">
        <v>16</v>
      </c>
      <c r="G1987" s="16"/>
      <c r="L1987" s="19"/>
      <c r="M1987" s="19"/>
    </row>
    <row r="1988" spans="1:16" x14ac:dyDescent="0.35">
      <c r="B1988" s="20"/>
      <c r="C1988" s="11" t="s">
        <v>240</v>
      </c>
      <c r="D1988" s="11" t="s">
        <v>272</v>
      </c>
      <c r="E1988" s="11">
        <v>375</v>
      </c>
      <c r="F1988" s="11">
        <v>384</v>
      </c>
      <c r="G1988" s="11">
        <v>392</v>
      </c>
      <c r="H1988" s="11">
        <v>394</v>
      </c>
      <c r="I1988" s="11" t="s">
        <v>420</v>
      </c>
      <c r="J1988" s="11"/>
      <c r="K1988" s="11"/>
      <c r="L1988" s="28"/>
    </row>
    <row r="1989" spans="1:16" ht="15.75" customHeight="1" x14ac:dyDescent="0.35">
      <c r="B1989" s="20" t="s">
        <v>242</v>
      </c>
      <c r="C1989" s="21"/>
      <c r="D1989" s="22" t="s">
        <v>294</v>
      </c>
      <c r="E1989" s="23" t="s">
        <v>244</v>
      </c>
      <c r="F1989" s="23" t="s">
        <v>245</v>
      </c>
      <c r="G1989" s="23" t="s">
        <v>246</v>
      </c>
      <c r="H1989" s="23" t="s">
        <v>273</v>
      </c>
      <c r="O1989" s="4"/>
    </row>
    <row r="1990" spans="1:16" ht="1" customHeight="1" x14ac:dyDescent="0.35">
      <c r="B1990" s="24" t="s">
        <v>249</v>
      </c>
      <c r="C1990" s="25">
        <v>320</v>
      </c>
      <c r="D1990" s="25">
        <v>350</v>
      </c>
      <c r="E1990" s="25"/>
      <c r="F1990" s="25"/>
      <c r="G1990" s="25"/>
      <c r="H1990" s="23" t="s">
        <v>247</v>
      </c>
      <c r="O1990" t="e">
        <f>(O1988-3*O1987)/O1989</f>
        <v>#DIV/0!</v>
      </c>
    </row>
    <row r="1991" spans="1:16" ht="15.75" customHeight="1" x14ac:dyDescent="0.35">
      <c r="B1991" s="20" t="s">
        <v>250</v>
      </c>
      <c r="C1991" s="26">
        <v>0.21180555555555555</v>
      </c>
      <c r="D1991" s="26">
        <v>0.2986111111111111</v>
      </c>
      <c r="E1991" s="26">
        <v>0.38541666666666669</v>
      </c>
      <c r="F1991" s="26">
        <f>E1991+'Lookup Tables'!$N$1</f>
        <v>0.40625</v>
      </c>
      <c r="G1991" s="26">
        <f>F1991+'Lookup Tables'!$N$1</f>
        <v>0.42708333333333331</v>
      </c>
      <c r="H1991" s="26">
        <f>G1991+'Lookup Tables'!$S$1</f>
        <v>0.4375</v>
      </c>
      <c r="I1991" s="11"/>
      <c r="J1991" s="11"/>
      <c r="K1991" s="11"/>
      <c r="N1991">
        <f>MAX(F1988:M1988)-O1991</f>
        <v>19</v>
      </c>
      <c r="O1991" t="str">
        <f>RIGHT(E1988,3)</f>
        <v>375</v>
      </c>
    </row>
    <row r="1992" spans="1:16" ht="15.75" customHeight="1" x14ac:dyDescent="0.35">
      <c r="B1992" s="20" t="s">
        <v>251</v>
      </c>
      <c r="C1992" s="27">
        <v>0.2</v>
      </c>
      <c r="D1992" s="27">
        <v>0.5</v>
      </c>
      <c r="E1992" s="27"/>
      <c r="F1992" s="27"/>
      <c r="G1992" s="27">
        <v>0.25</v>
      </c>
      <c r="H1992" s="27"/>
      <c r="N1992" t="str">
        <f xml:space="preserve">  N1991 &amp; " degrees this time"</f>
        <v>19 degrees this time</v>
      </c>
    </row>
    <row r="1993" spans="1:16" ht="15.75" customHeight="1" x14ac:dyDescent="0.35">
      <c r="B1993" s="20" t="s">
        <v>252</v>
      </c>
      <c r="C1993" s="27">
        <v>0.9</v>
      </c>
      <c r="D1993" s="27">
        <v>0.7</v>
      </c>
      <c r="E1993" s="27">
        <v>0.4</v>
      </c>
      <c r="F1993" s="27"/>
      <c r="G1993" s="27"/>
      <c r="H1993" s="27" t="s">
        <v>275</v>
      </c>
    </row>
    <row r="1994" spans="1:16" ht="15.75" customHeight="1" x14ac:dyDescent="0.35">
      <c r="B1994" s="20"/>
      <c r="D1994" s="11"/>
      <c r="E1994" s="40"/>
      <c r="F1994" s="11"/>
      <c r="G1994" s="11"/>
      <c r="K1994" s="32" t="s">
        <v>402</v>
      </c>
      <c r="L1994" s="9"/>
      <c r="M1994" s="9"/>
    </row>
    <row r="1995" spans="1:16" ht="15.75" customHeight="1" x14ac:dyDescent="0.35">
      <c r="B1995" s="38"/>
      <c r="D1995" s="15"/>
      <c r="F1995" s="13"/>
      <c r="G1995" s="1" t="s">
        <v>403</v>
      </c>
      <c r="K1995" s="32"/>
      <c r="L1995" s="9"/>
      <c r="M1995" s="9"/>
    </row>
    <row r="1996" spans="1:16" ht="15.75" customHeight="1" x14ac:dyDescent="0.35">
      <c r="B1996" s="20"/>
      <c r="G1996" s="1"/>
      <c r="H1996" s="1"/>
      <c r="K1996" s="9"/>
      <c r="L1996" s="9"/>
      <c r="M1996" s="9"/>
    </row>
    <row r="1997" spans="1:16" ht="15.75" customHeight="1" x14ac:dyDescent="0.35">
      <c r="B1997" s="20"/>
      <c r="G1997" s="1"/>
      <c r="H1997" s="1"/>
      <c r="K1997" s="9" t="s">
        <v>297</v>
      </c>
      <c r="L1997" s="9"/>
      <c r="M1997" s="9"/>
    </row>
    <row r="1998" spans="1:16" ht="15.75" customHeight="1" x14ac:dyDescent="0.35">
      <c r="B1998" s="9"/>
      <c r="C1998" s="9"/>
      <c r="D1998" s="9"/>
      <c r="E1998" s="9"/>
      <c r="F1998" s="12"/>
      <c r="G1998" s="12"/>
      <c r="H1998" s="12"/>
      <c r="I1998" s="12"/>
      <c r="J1998" s="12"/>
      <c r="K1998" s="12"/>
      <c r="L1998" s="1"/>
    </row>
    <row r="1999" spans="1:16" ht="15.75" customHeight="1" x14ac:dyDescent="0.35">
      <c r="B1999" s="13"/>
      <c r="C1999" s="13"/>
      <c r="D1999" s="15"/>
      <c r="G1999" s="16"/>
      <c r="H1999" s="14" t="s">
        <v>255</v>
      </c>
      <c r="I1999" s="14"/>
    </row>
    <row r="2000" spans="1:16" x14ac:dyDescent="0.35">
      <c r="B2000" s="13" t="s">
        <v>5</v>
      </c>
      <c r="C2000" s="13" t="s">
        <v>1</v>
      </c>
      <c r="D2000" s="15" t="str">
        <f>VLOOKUP(A2001,Inventory!$A$4:$K$1139,7)</f>
        <v xml:space="preserve">Sweet Marias                       </v>
      </c>
      <c r="F2000" s="13" t="s">
        <v>235</v>
      </c>
      <c r="G2000" s="16"/>
      <c r="H2000" s="14" t="s">
        <v>236</v>
      </c>
      <c r="L2000" s="17"/>
      <c r="M2000" s="17"/>
    </row>
    <row r="2001" spans="1:16" x14ac:dyDescent="0.35">
      <c r="A2001">
        <v>153</v>
      </c>
      <c r="B2001" s="5">
        <v>44632</v>
      </c>
      <c r="C2001" s="15" t="str">
        <f>VLOOKUP(A2001,Inventory!$A$4:$K$1139,2)</f>
        <v>Yemen Mokha Matari 2019</v>
      </c>
      <c r="F2001" s="31" t="s">
        <v>291</v>
      </c>
      <c r="G2001" s="2" t="s">
        <v>286</v>
      </c>
      <c r="L2001" s="17"/>
      <c r="M2001" s="17"/>
      <c r="P2001" s="8"/>
    </row>
    <row r="2002" spans="1:16" x14ac:dyDescent="0.35">
      <c r="B2002" t="s">
        <v>16</v>
      </c>
      <c r="G2002" s="16"/>
      <c r="L2002" s="19"/>
      <c r="M2002" s="19"/>
    </row>
    <row r="2003" spans="1:16" x14ac:dyDescent="0.35">
      <c r="B2003" s="20"/>
      <c r="C2003" s="11" t="s">
        <v>240</v>
      </c>
      <c r="D2003" s="11" t="s">
        <v>272</v>
      </c>
      <c r="E2003" s="11">
        <v>370</v>
      </c>
      <c r="F2003" s="11">
        <v>377</v>
      </c>
      <c r="G2003" s="11">
        <v>384</v>
      </c>
      <c r="H2003" s="11">
        <v>392</v>
      </c>
      <c r="I2003" s="11"/>
      <c r="J2003" s="11"/>
      <c r="K2003" s="11"/>
      <c r="L2003" s="28"/>
    </row>
    <row r="2004" spans="1:16" ht="15.75" customHeight="1" x14ac:dyDescent="0.35">
      <c r="B2004" s="20" t="s">
        <v>242</v>
      </c>
      <c r="C2004" s="21"/>
      <c r="D2004" s="22" t="s">
        <v>294</v>
      </c>
      <c r="E2004" s="23" t="s">
        <v>244</v>
      </c>
      <c r="F2004" s="23" t="s">
        <v>245</v>
      </c>
      <c r="G2004" s="23" t="s">
        <v>246</v>
      </c>
      <c r="H2004" s="23" t="s">
        <v>273</v>
      </c>
      <c r="I2004" s="23" t="s">
        <v>247</v>
      </c>
      <c r="O2004" s="4"/>
    </row>
    <row r="2005" spans="1:16" ht="1" customHeight="1" x14ac:dyDescent="0.35">
      <c r="B2005" s="24" t="s">
        <v>249</v>
      </c>
      <c r="C2005" s="25">
        <v>320</v>
      </c>
      <c r="D2005" s="25">
        <v>350</v>
      </c>
      <c r="E2005" s="25"/>
      <c r="F2005" s="25"/>
      <c r="G2005" s="25"/>
      <c r="H2005" s="23" t="s">
        <v>247</v>
      </c>
      <c r="I2005" s="25"/>
      <c r="O2005" t="e">
        <f>(O2003-3*O2002)/O2004</f>
        <v>#DIV/0!</v>
      </c>
    </row>
    <row r="2006" spans="1:16" ht="15.75" customHeight="1" x14ac:dyDescent="0.35">
      <c r="B2006" s="20" t="s">
        <v>250</v>
      </c>
      <c r="C2006" s="26">
        <v>0.21180555555555555</v>
      </c>
      <c r="D2006" s="26">
        <v>0.30555555555555552</v>
      </c>
      <c r="E2006" s="26">
        <v>0.38194444444444442</v>
      </c>
      <c r="F2006" s="26">
        <f>E2006+'Lookup Tables'!$N$1</f>
        <v>0.40277777777777773</v>
      </c>
      <c r="G2006" s="26">
        <f>F2006+'Lookup Tables'!$N$1</f>
        <v>0.42361111111111105</v>
      </c>
      <c r="H2006" s="26">
        <f>G2006+'Lookup Tables'!$S$1</f>
        <v>0.43402777777777773</v>
      </c>
      <c r="I2006" s="26">
        <f>H2006+'Lookup Tables'!$S$1</f>
        <v>0.44444444444444442</v>
      </c>
      <c r="J2006" s="11"/>
      <c r="K2006" s="11"/>
      <c r="N2006">
        <f>MAX(F2003:M2003)-O2006</f>
        <v>22</v>
      </c>
      <c r="O2006" t="str">
        <f>RIGHT(E2003,3)</f>
        <v>370</v>
      </c>
    </row>
    <row r="2007" spans="1:16" ht="15.75" customHeight="1" x14ac:dyDescent="0.35">
      <c r="B2007" s="20" t="s">
        <v>251</v>
      </c>
      <c r="C2007" s="27">
        <v>0.2</v>
      </c>
      <c r="D2007" s="27">
        <v>0.5</v>
      </c>
      <c r="E2007" s="27"/>
      <c r="F2007" s="27"/>
      <c r="G2007" s="27">
        <v>0.25</v>
      </c>
      <c r="H2007" s="27"/>
      <c r="I2007" s="27"/>
      <c r="N2007" t="str">
        <f xml:space="preserve">  N2006 &amp; " degrees this time"</f>
        <v>22 degrees this time</v>
      </c>
    </row>
    <row r="2008" spans="1:16" ht="15.75" customHeight="1" x14ac:dyDescent="0.35">
      <c r="B2008" s="20" t="s">
        <v>252</v>
      </c>
      <c r="C2008" s="27">
        <v>0.9</v>
      </c>
      <c r="D2008" s="27">
        <v>0.7</v>
      </c>
      <c r="E2008" s="27">
        <v>0.7</v>
      </c>
      <c r="F2008" s="27">
        <v>0.5</v>
      </c>
      <c r="G2008" s="27"/>
      <c r="H2008" s="27" t="s">
        <v>275</v>
      </c>
      <c r="I2008" s="27" t="s">
        <v>275</v>
      </c>
    </row>
    <row r="2009" spans="1:16" ht="15.75" customHeight="1" x14ac:dyDescent="0.35">
      <c r="B2009" s="20"/>
      <c r="D2009" s="11"/>
      <c r="E2009" s="40"/>
      <c r="F2009" s="11"/>
      <c r="G2009" s="11"/>
      <c r="K2009" s="32" t="s">
        <v>314</v>
      </c>
      <c r="L2009" s="9"/>
      <c r="M2009" s="9"/>
    </row>
    <row r="2010" spans="1:16" ht="15.75" customHeight="1" x14ac:dyDescent="0.35">
      <c r="B2010" s="38"/>
      <c r="D2010" s="15"/>
      <c r="F2010" s="13"/>
      <c r="G2010" s="1" t="s">
        <v>296</v>
      </c>
      <c r="K2010" s="32"/>
      <c r="L2010" s="9"/>
      <c r="M2010" s="9"/>
    </row>
    <row r="2011" spans="1:16" ht="15.75" customHeight="1" x14ac:dyDescent="0.35">
      <c r="B2011" s="20"/>
      <c r="G2011" s="1"/>
      <c r="H2011" s="1"/>
      <c r="K2011" s="9"/>
      <c r="L2011" s="9"/>
      <c r="M2011" s="9"/>
    </row>
    <row r="2012" spans="1:16" ht="15.75" customHeight="1" x14ac:dyDescent="0.35">
      <c r="B2012" s="20"/>
      <c r="G2012" s="1"/>
      <c r="H2012" s="1"/>
      <c r="K2012" s="9" t="s">
        <v>297</v>
      </c>
      <c r="L2012" s="9"/>
      <c r="M2012" s="9"/>
    </row>
    <row r="2013" spans="1:16" ht="15.75" customHeight="1" x14ac:dyDescent="0.35">
      <c r="B2013" s="9"/>
      <c r="C2013" s="9"/>
      <c r="D2013" s="9"/>
      <c r="E2013" s="9"/>
      <c r="F2013" s="12"/>
      <c r="G2013" s="12"/>
      <c r="H2013" s="12"/>
      <c r="I2013" s="12"/>
      <c r="J2013" s="12"/>
      <c r="K2013" s="12"/>
      <c r="L2013" s="1"/>
    </row>
    <row r="2014" spans="1:16" ht="15.75" customHeight="1" x14ac:dyDescent="0.35">
      <c r="B2014" s="13"/>
      <c r="C2014" s="13"/>
      <c r="D2014" s="15"/>
      <c r="H2014" s="14" t="s">
        <v>255</v>
      </c>
    </row>
    <row r="2015" spans="1:16" x14ac:dyDescent="0.35">
      <c r="B2015" s="13" t="s">
        <v>5</v>
      </c>
      <c r="C2015" s="13" t="s">
        <v>1</v>
      </c>
      <c r="D2015" s="15" t="str">
        <f>VLOOKUP(A2016,Inventory!$A$4:$K$1139,7)</f>
        <v>Burman Coffee</v>
      </c>
      <c r="F2015" s="13" t="s">
        <v>235</v>
      </c>
      <c r="G2015" s="16"/>
      <c r="L2015" s="17"/>
      <c r="M2015" s="17"/>
    </row>
    <row r="2016" spans="1:16" x14ac:dyDescent="0.35">
      <c r="A2016">
        <v>165</v>
      </c>
      <c r="B2016" s="5">
        <v>44625</v>
      </c>
      <c r="C2016" s="15" t="str">
        <f>VLOOKUP(A2016,Inventory!$A$4:$K$1139,2)</f>
        <v>Ethiopian Guji Natural - Shakiso 2020</v>
      </c>
      <c r="F2016" s="31" t="s">
        <v>291</v>
      </c>
      <c r="G2016" s="2" t="s">
        <v>286</v>
      </c>
      <c r="L2016" s="17"/>
      <c r="M2016" s="17"/>
      <c r="P2016" s="8"/>
    </row>
    <row r="2017" spans="1:16" x14ac:dyDescent="0.35">
      <c r="F2017" s="11"/>
      <c r="G2017" s="11"/>
      <c r="H2017" s="11"/>
      <c r="I2017" s="11"/>
      <c r="J2017" s="11"/>
      <c r="K2017" s="11"/>
      <c r="L2017" s="28"/>
      <c r="M2017" s="36"/>
    </row>
    <row r="2018" spans="1:16" x14ac:dyDescent="0.35">
      <c r="B2018" s="20"/>
      <c r="C2018" s="11" t="s">
        <v>240</v>
      </c>
      <c r="D2018" s="11" t="s">
        <v>272</v>
      </c>
      <c r="E2018" s="11">
        <v>366</v>
      </c>
      <c r="F2018" s="11">
        <v>375</v>
      </c>
      <c r="G2018" s="11">
        <v>386</v>
      </c>
      <c r="H2018" s="11">
        <v>394</v>
      </c>
      <c r="I2018" s="11" t="s">
        <v>313</v>
      </c>
      <c r="J2018" s="11"/>
      <c r="K2018" s="11"/>
      <c r="L2018" s="28"/>
    </row>
    <row r="2019" spans="1:16" ht="15.75" customHeight="1" x14ac:dyDescent="0.35">
      <c r="B2019" s="20" t="s">
        <v>242</v>
      </c>
      <c r="C2019" s="30"/>
      <c r="D2019" s="30"/>
      <c r="E2019" s="23" t="s">
        <v>244</v>
      </c>
      <c r="F2019" s="23" t="s">
        <v>245</v>
      </c>
      <c r="G2019" s="23" t="s">
        <v>246</v>
      </c>
      <c r="H2019" s="23" t="s">
        <v>247</v>
      </c>
      <c r="O2019" s="4"/>
    </row>
    <row r="2020" spans="1:16" ht="1" customHeight="1" x14ac:dyDescent="0.35">
      <c r="B2020" s="24" t="s">
        <v>249</v>
      </c>
      <c r="C2020" s="25"/>
      <c r="D2020" s="25"/>
      <c r="E2020" s="25"/>
      <c r="F2020" s="25"/>
      <c r="G2020" s="25"/>
      <c r="H2020" s="25"/>
      <c r="O2020" t="e">
        <f>(O2018-3*O2017)/O2019</f>
        <v>#DIV/0!</v>
      </c>
    </row>
    <row r="2021" spans="1:16" ht="15.75" customHeight="1" x14ac:dyDescent="0.35">
      <c r="B2021" s="20" t="s">
        <v>250</v>
      </c>
      <c r="C2021" s="26">
        <v>0.20833333333333334</v>
      </c>
      <c r="D2021" s="26">
        <v>0.2986111111111111</v>
      </c>
      <c r="E2021" s="26">
        <v>0.37152777777777773</v>
      </c>
      <c r="F2021" s="26">
        <f>E2021+'Lookup Tables'!$N$1</f>
        <v>0.39236111111111105</v>
      </c>
      <c r="G2021" s="26">
        <f>F2021+'Lookup Tables'!$N$1</f>
        <v>0.41319444444444436</v>
      </c>
      <c r="H2021" s="26">
        <f>G2021+'Lookup Tables'!$N$1</f>
        <v>0.43402777777777768</v>
      </c>
      <c r="N2021">
        <f>MAX(F2018:M2018)-O2021</f>
        <v>28</v>
      </c>
      <c r="O2021" t="str">
        <f>RIGHT(E2018,3)</f>
        <v>366</v>
      </c>
    </row>
    <row r="2022" spans="1:16" ht="15.75" customHeight="1" x14ac:dyDescent="0.35">
      <c r="B2022" s="20" t="s">
        <v>251</v>
      </c>
      <c r="C2022" s="27">
        <v>0.2</v>
      </c>
      <c r="D2022" s="27">
        <v>0.5</v>
      </c>
      <c r="E2022" s="27"/>
      <c r="F2022" s="27"/>
      <c r="G2022" s="27"/>
      <c r="H2022" s="25"/>
      <c r="N2022" t="str">
        <f xml:space="preserve">  N2021 &amp; " degrees this time"</f>
        <v>28 degrees this time</v>
      </c>
    </row>
    <row r="2023" spans="1:16" ht="15.75" customHeight="1" x14ac:dyDescent="0.35">
      <c r="B2023" s="20" t="s">
        <v>252</v>
      </c>
      <c r="C2023" s="27">
        <v>0.9</v>
      </c>
      <c r="D2023" s="27">
        <v>0.9</v>
      </c>
      <c r="E2023" s="27">
        <v>0.8</v>
      </c>
      <c r="F2023" s="27">
        <v>0.5</v>
      </c>
      <c r="G2023" s="27"/>
      <c r="H2023" s="27" t="s">
        <v>275</v>
      </c>
    </row>
    <row r="2024" spans="1:16" ht="15.75" customHeight="1" x14ac:dyDescent="0.35">
      <c r="B2024" s="20"/>
      <c r="C2024" s="30"/>
      <c r="D2024" s="11"/>
      <c r="E2024" s="1"/>
      <c r="F2024" s="11"/>
      <c r="G2024" s="11"/>
      <c r="H2024" s="11"/>
      <c r="J2024" s="37"/>
      <c r="K2024" s="32"/>
      <c r="L2024" s="9"/>
      <c r="M2024" s="9"/>
    </row>
    <row r="2025" spans="1:16" ht="15.75" customHeight="1" x14ac:dyDescent="0.35">
      <c r="B2025" s="38"/>
      <c r="D2025" s="11"/>
      <c r="E2025" s="11"/>
      <c r="F2025" s="11"/>
      <c r="G2025" s="1" t="s">
        <v>404</v>
      </c>
      <c r="K2025" s="32"/>
      <c r="L2025" s="9"/>
      <c r="M2025" s="9"/>
    </row>
    <row r="2026" spans="1:16" ht="15.75" customHeight="1" x14ac:dyDescent="0.35">
      <c r="B2026" s="20"/>
      <c r="C2026" t="s">
        <v>421</v>
      </c>
      <c r="G2026" s="1"/>
      <c r="H2026" s="1"/>
      <c r="K2026" s="32"/>
      <c r="L2026" s="9"/>
      <c r="M2026" s="9"/>
    </row>
    <row r="2027" spans="1:16" ht="15.75" customHeight="1" x14ac:dyDescent="0.35">
      <c r="B2027" s="20"/>
      <c r="G2027" s="1"/>
      <c r="H2027" s="1"/>
      <c r="K2027" s="9" t="s">
        <v>254</v>
      </c>
      <c r="L2027" s="9"/>
      <c r="M2027" s="9"/>
    </row>
    <row r="2028" spans="1:16" ht="15.75" customHeight="1" x14ac:dyDescent="0.35">
      <c r="B2028" s="9"/>
      <c r="C2028" s="9"/>
      <c r="D2028" s="9"/>
      <c r="E2028" s="9"/>
      <c r="F2028" s="12"/>
      <c r="G2028" s="12"/>
      <c r="H2028" s="12"/>
      <c r="I2028" s="12"/>
      <c r="J2028" s="12"/>
      <c r="K2028" s="12"/>
      <c r="L2028" s="1"/>
    </row>
    <row r="2029" spans="1:16" ht="15.75" customHeight="1" x14ac:dyDescent="0.35">
      <c r="B2029" s="13"/>
      <c r="C2029" s="13"/>
      <c r="D2029" s="15"/>
      <c r="F2029" s="33" t="s">
        <v>341</v>
      </c>
      <c r="G2029" s="16"/>
      <c r="I2029" s="14"/>
    </row>
    <row r="2030" spans="1:16" x14ac:dyDescent="0.35">
      <c r="B2030" s="13" t="s">
        <v>5</v>
      </c>
      <c r="C2030" s="13" t="s">
        <v>1</v>
      </c>
      <c r="D2030" s="15" t="str">
        <f>VLOOKUP(A2031,Inventory!$A$4:$K$1139,7)</f>
        <v>Coffee Bean corral</v>
      </c>
      <c r="F2030" s="13" t="s">
        <v>235</v>
      </c>
      <c r="G2030" s="16"/>
      <c r="H2030" s="14" t="s">
        <v>256</v>
      </c>
      <c r="L2030" s="17"/>
      <c r="M2030" s="17"/>
    </row>
    <row r="2031" spans="1:16" x14ac:dyDescent="0.35">
      <c r="A2031">
        <v>151</v>
      </c>
      <c r="B2031" s="5">
        <v>44632</v>
      </c>
      <c r="C2031" s="15" t="str">
        <f>VLOOKUP(A2031,Inventory!$A$4:$K$1139,2)</f>
        <v>Yemen Mocca Ismaili Natural 2018</v>
      </c>
      <c r="F2031" s="34" t="s">
        <v>279</v>
      </c>
      <c r="G2031" s="2" t="s">
        <v>286</v>
      </c>
      <c r="L2031" s="17"/>
      <c r="M2031" s="17"/>
      <c r="P2031" s="8"/>
    </row>
    <row r="2032" spans="1:16" x14ac:dyDescent="0.35">
      <c r="B2032" t="s">
        <v>16</v>
      </c>
      <c r="G2032" s="16"/>
      <c r="L2032" s="19"/>
      <c r="M2032" s="19"/>
    </row>
    <row r="2033" spans="1:16" x14ac:dyDescent="0.35">
      <c r="B2033" s="20"/>
      <c r="C2033" s="11" t="s">
        <v>240</v>
      </c>
      <c r="D2033" s="11" t="s">
        <v>272</v>
      </c>
      <c r="E2033" s="11">
        <v>375</v>
      </c>
      <c r="F2033" s="11">
        <v>383</v>
      </c>
      <c r="G2033" s="11">
        <v>391</v>
      </c>
      <c r="H2033" s="11">
        <v>393</v>
      </c>
      <c r="I2033" s="11" t="s">
        <v>420</v>
      </c>
      <c r="J2033" s="11"/>
      <c r="K2033" s="11"/>
      <c r="L2033" s="28"/>
    </row>
    <row r="2034" spans="1:16" ht="15.75" customHeight="1" x14ac:dyDescent="0.35">
      <c r="B2034" s="20" t="s">
        <v>242</v>
      </c>
      <c r="C2034" s="21"/>
      <c r="D2034" s="22" t="s">
        <v>294</v>
      </c>
      <c r="E2034" s="23" t="s">
        <v>244</v>
      </c>
      <c r="F2034" s="23" t="s">
        <v>245</v>
      </c>
      <c r="G2034" s="23" t="s">
        <v>246</v>
      </c>
      <c r="H2034" s="23" t="s">
        <v>273</v>
      </c>
      <c r="O2034" s="4"/>
    </row>
    <row r="2035" spans="1:16" ht="1" customHeight="1" x14ac:dyDescent="0.35">
      <c r="B2035" s="24" t="s">
        <v>249</v>
      </c>
      <c r="C2035" s="25">
        <v>320</v>
      </c>
      <c r="D2035" s="25">
        <v>350</v>
      </c>
      <c r="E2035" s="25"/>
      <c r="F2035" s="25"/>
      <c r="G2035" s="25"/>
      <c r="H2035" s="23" t="s">
        <v>247</v>
      </c>
      <c r="O2035" t="e">
        <f>(O2033-3*O2032)/O2034</f>
        <v>#DIV/0!</v>
      </c>
    </row>
    <row r="2036" spans="1:16" ht="15.75" customHeight="1" x14ac:dyDescent="0.35">
      <c r="B2036" s="20" t="s">
        <v>250</v>
      </c>
      <c r="C2036" s="26">
        <v>0.21180555555555555</v>
      </c>
      <c r="D2036" s="26">
        <v>0.2951388888888889</v>
      </c>
      <c r="E2036" s="26">
        <v>0.38194444444444442</v>
      </c>
      <c r="F2036" s="26">
        <f>E2036+'Lookup Tables'!$N$1</f>
        <v>0.40277777777777773</v>
      </c>
      <c r="G2036" s="26">
        <f>F2036+'Lookup Tables'!$N$1</f>
        <v>0.42361111111111105</v>
      </c>
      <c r="H2036" s="26">
        <f>G2036+'Lookup Tables'!$S$1</f>
        <v>0.43402777777777773</v>
      </c>
      <c r="I2036" s="11"/>
      <c r="J2036" s="11"/>
      <c r="K2036" s="11"/>
      <c r="N2036">
        <f>MAX(F2033:M2033)-O2036</f>
        <v>18</v>
      </c>
      <c r="O2036" t="str">
        <f>RIGHT(E2033,3)</f>
        <v>375</v>
      </c>
    </row>
    <row r="2037" spans="1:16" ht="15.75" customHeight="1" x14ac:dyDescent="0.35">
      <c r="B2037" s="20" t="s">
        <v>251</v>
      </c>
      <c r="C2037" s="27">
        <v>0.2</v>
      </c>
      <c r="D2037" s="27">
        <v>0.5</v>
      </c>
      <c r="E2037" s="27"/>
      <c r="F2037" s="27"/>
      <c r="G2037" s="27">
        <v>0.25</v>
      </c>
      <c r="H2037" s="27"/>
      <c r="N2037" t="str">
        <f xml:space="preserve">  N2036 &amp; " degrees this time"</f>
        <v>18 degrees this time</v>
      </c>
    </row>
    <row r="2038" spans="1:16" ht="15.75" customHeight="1" x14ac:dyDescent="0.35">
      <c r="B2038" s="20" t="s">
        <v>252</v>
      </c>
      <c r="C2038" s="27">
        <v>0.9</v>
      </c>
      <c r="D2038" s="27">
        <v>0.7</v>
      </c>
      <c r="E2038" s="27">
        <v>0.4</v>
      </c>
      <c r="F2038" s="27"/>
      <c r="G2038" s="27"/>
      <c r="H2038" s="27" t="s">
        <v>275</v>
      </c>
    </row>
    <row r="2039" spans="1:16" ht="15.75" customHeight="1" x14ac:dyDescent="0.35">
      <c r="B2039" s="20"/>
      <c r="D2039" s="11"/>
      <c r="E2039" s="40"/>
      <c r="F2039" s="11"/>
      <c r="G2039" s="11"/>
      <c r="K2039" s="32" t="s">
        <v>402</v>
      </c>
      <c r="L2039" s="9"/>
      <c r="M2039" s="9"/>
    </row>
    <row r="2040" spans="1:16" ht="15.75" customHeight="1" x14ac:dyDescent="0.35">
      <c r="B2040" s="38"/>
      <c r="D2040" s="15"/>
      <c r="F2040" s="13"/>
      <c r="G2040" s="1" t="s">
        <v>403</v>
      </c>
      <c r="K2040" s="32"/>
      <c r="L2040" s="9"/>
      <c r="M2040" s="9"/>
    </row>
    <row r="2041" spans="1:16" ht="15.75" customHeight="1" x14ac:dyDescent="0.35">
      <c r="B2041" s="20"/>
      <c r="G2041" s="1"/>
      <c r="H2041" s="1"/>
      <c r="K2041" s="9"/>
      <c r="L2041" s="9"/>
      <c r="M2041" s="9"/>
    </row>
    <row r="2042" spans="1:16" ht="15.75" customHeight="1" x14ac:dyDescent="0.35">
      <c r="B2042" s="20"/>
      <c r="G2042" s="1"/>
      <c r="H2042" s="1"/>
      <c r="K2042" s="9" t="s">
        <v>297</v>
      </c>
      <c r="L2042" s="9"/>
      <c r="M2042" s="9"/>
    </row>
    <row r="2043" spans="1:16" ht="15.75" customHeight="1" x14ac:dyDescent="0.35">
      <c r="B2043" s="9"/>
      <c r="C2043" s="9"/>
      <c r="D2043" s="9"/>
      <c r="E2043" s="9"/>
      <c r="F2043" s="12"/>
      <c r="G2043" s="12"/>
      <c r="H2043" s="12"/>
      <c r="I2043" s="12"/>
      <c r="J2043" s="12"/>
      <c r="K2043" s="12"/>
      <c r="L2043" s="1"/>
    </row>
    <row r="2044" spans="1:16" ht="15.75" customHeight="1" x14ac:dyDescent="0.35">
      <c r="B2044" s="13"/>
      <c r="C2044" s="13"/>
      <c r="D2044" s="15"/>
      <c r="F2044" s="33" t="s">
        <v>341</v>
      </c>
      <c r="G2044" s="16"/>
      <c r="H2044" s="14" t="s">
        <v>255</v>
      </c>
      <c r="I2044" s="14"/>
    </row>
    <row r="2045" spans="1:16" x14ac:dyDescent="0.35">
      <c r="B2045" s="13" t="s">
        <v>5</v>
      </c>
      <c r="C2045" s="13" t="s">
        <v>1</v>
      </c>
      <c r="D2045" s="15" t="str">
        <f>VLOOKUP(A2046,Inventory!$A$4:$K$1139,7)</f>
        <v xml:space="preserve">Sweet Marias                       </v>
      </c>
      <c r="F2045" s="13" t="s">
        <v>235</v>
      </c>
      <c r="G2045" s="16"/>
      <c r="H2045" s="14" t="s">
        <v>256</v>
      </c>
      <c r="L2045" s="17"/>
      <c r="M2045" s="17"/>
    </row>
    <row r="2046" spans="1:16" x14ac:dyDescent="0.35">
      <c r="A2046">
        <v>153</v>
      </c>
      <c r="B2046" s="5">
        <v>44632</v>
      </c>
      <c r="C2046" s="15" t="str">
        <f>VLOOKUP(A2046,Inventory!$A$4:$K$1139,2)</f>
        <v>Yemen Mokha Matari 2019</v>
      </c>
      <c r="F2046" s="31" t="s">
        <v>291</v>
      </c>
      <c r="G2046" s="2" t="s">
        <v>286</v>
      </c>
      <c r="L2046" s="17"/>
      <c r="M2046" s="17"/>
      <c r="P2046" s="8"/>
    </row>
    <row r="2047" spans="1:16" x14ac:dyDescent="0.35">
      <c r="B2047" t="s">
        <v>16</v>
      </c>
      <c r="G2047" s="16"/>
      <c r="L2047" s="19"/>
      <c r="M2047" s="19"/>
    </row>
    <row r="2048" spans="1:16" x14ac:dyDescent="0.35">
      <c r="B2048" s="20"/>
      <c r="C2048" s="11" t="s">
        <v>240</v>
      </c>
      <c r="D2048" s="11" t="s">
        <v>272</v>
      </c>
      <c r="E2048" s="11">
        <v>370</v>
      </c>
      <c r="F2048" s="11">
        <v>377</v>
      </c>
      <c r="G2048" s="11">
        <v>386</v>
      </c>
      <c r="H2048" s="11">
        <v>390</v>
      </c>
      <c r="I2048" s="11">
        <v>392</v>
      </c>
      <c r="J2048" s="11" t="s">
        <v>356</v>
      </c>
      <c r="K2048" s="11"/>
      <c r="L2048" s="28"/>
    </row>
    <row r="2049" spans="1:16" ht="15.75" customHeight="1" x14ac:dyDescent="0.35">
      <c r="B2049" s="20" t="s">
        <v>242</v>
      </c>
      <c r="C2049" s="21"/>
      <c r="D2049" s="22" t="s">
        <v>294</v>
      </c>
      <c r="E2049" s="23" t="s">
        <v>244</v>
      </c>
      <c r="F2049" s="23" t="s">
        <v>245</v>
      </c>
      <c r="G2049" s="23" t="s">
        <v>246</v>
      </c>
      <c r="H2049" s="23" t="s">
        <v>273</v>
      </c>
      <c r="I2049" s="23" t="s">
        <v>247</v>
      </c>
      <c r="O2049" s="4"/>
    </row>
    <row r="2050" spans="1:16" ht="1" customHeight="1" x14ac:dyDescent="0.35">
      <c r="B2050" s="24" t="s">
        <v>249</v>
      </c>
      <c r="C2050" s="25">
        <v>320</v>
      </c>
      <c r="D2050" s="25">
        <v>350</v>
      </c>
      <c r="E2050" s="25"/>
      <c r="F2050" s="25"/>
      <c r="G2050" s="25"/>
      <c r="H2050" s="23" t="s">
        <v>247</v>
      </c>
      <c r="I2050" s="25"/>
      <c r="O2050" t="e">
        <f>(O2048-3*O2047)/O2049</f>
        <v>#DIV/0!</v>
      </c>
    </row>
    <row r="2051" spans="1:16" ht="15.75" customHeight="1" x14ac:dyDescent="0.35">
      <c r="B2051" s="20" t="s">
        <v>250</v>
      </c>
      <c r="C2051" s="26">
        <v>0.20833333333333334</v>
      </c>
      <c r="D2051" s="26">
        <v>0.2986111111111111</v>
      </c>
      <c r="E2051" s="26">
        <v>0.38541666666666669</v>
      </c>
      <c r="F2051" s="26">
        <f>E2051+'Lookup Tables'!$N$1</f>
        <v>0.40625</v>
      </c>
      <c r="G2051" s="26">
        <f>F2051+'Lookup Tables'!$N$1</f>
        <v>0.42708333333333331</v>
      </c>
      <c r="H2051" s="26">
        <f>G2051+'Lookup Tables'!$S$1</f>
        <v>0.4375</v>
      </c>
      <c r="I2051" s="26">
        <f>H2051+'Lookup Tables'!$S$1</f>
        <v>0.44791666666666669</v>
      </c>
      <c r="J2051" s="11"/>
      <c r="K2051" s="11"/>
      <c r="N2051">
        <f>MAX(F2048:M2048)-O2051</f>
        <v>22</v>
      </c>
      <c r="O2051" t="str">
        <f>RIGHT(E2048,3)</f>
        <v>370</v>
      </c>
    </row>
    <row r="2052" spans="1:16" ht="15.75" customHeight="1" x14ac:dyDescent="0.35">
      <c r="B2052" s="20" t="s">
        <v>251</v>
      </c>
      <c r="C2052" s="27">
        <v>0.2</v>
      </c>
      <c r="D2052" s="27">
        <v>0.5</v>
      </c>
      <c r="E2052" s="27"/>
      <c r="F2052" s="27"/>
      <c r="G2052" s="27">
        <v>0.25</v>
      </c>
      <c r="H2052" s="27"/>
      <c r="I2052" s="27"/>
      <c r="N2052" t="str">
        <f xml:space="preserve">  N2051 &amp; " degrees this time"</f>
        <v>22 degrees this time</v>
      </c>
    </row>
    <row r="2053" spans="1:16" ht="15.75" customHeight="1" x14ac:dyDescent="0.35">
      <c r="B2053" s="20" t="s">
        <v>252</v>
      </c>
      <c r="C2053" s="27">
        <v>0.9</v>
      </c>
      <c r="D2053" s="27">
        <v>0.7</v>
      </c>
      <c r="E2053" s="27">
        <v>0.7</v>
      </c>
      <c r="F2053" s="27">
        <v>0.5</v>
      </c>
      <c r="G2053" s="27"/>
      <c r="H2053" s="27"/>
      <c r="I2053" s="27" t="s">
        <v>275</v>
      </c>
    </row>
    <row r="2054" spans="1:16" ht="15.75" customHeight="1" x14ac:dyDescent="0.35">
      <c r="B2054" s="20"/>
      <c r="D2054" s="11"/>
      <c r="E2054" s="40"/>
      <c r="F2054" s="11"/>
      <c r="G2054" s="11"/>
      <c r="K2054" s="32" t="s">
        <v>314</v>
      </c>
      <c r="L2054" s="9"/>
      <c r="M2054" s="9"/>
    </row>
    <row r="2055" spans="1:16" ht="15.75" customHeight="1" x14ac:dyDescent="0.35">
      <c r="B2055" s="38"/>
      <c r="D2055" s="15"/>
      <c r="F2055" s="13"/>
      <c r="G2055" s="1" t="s">
        <v>296</v>
      </c>
      <c r="K2055" s="32"/>
      <c r="L2055" s="9"/>
      <c r="M2055" s="9"/>
    </row>
    <row r="2056" spans="1:16" ht="15.75" customHeight="1" x14ac:dyDescent="0.35">
      <c r="B2056" s="20"/>
      <c r="G2056" s="1"/>
      <c r="H2056" s="1"/>
      <c r="K2056" s="9"/>
      <c r="L2056" s="9"/>
      <c r="M2056" s="9"/>
    </row>
    <row r="2057" spans="1:16" ht="15.75" customHeight="1" x14ac:dyDescent="0.35">
      <c r="B2057" s="20"/>
      <c r="G2057" s="1"/>
      <c r="H2057" s="1"/>
      <c r="K2057" s="9" t="s">
        <v>297</v>
      </c>
      <c r="L2057" s="9"/>
      <c r="M2057" s="9"/>
    </row>
    <row r="2058" spans="1:16" ht="15.75" customHeight="1" x14ac:dyDescent="0.35">
      <c r="B2058" s="9"/>
      <c r="C2058" s="9"/>
      <c r="D2058" s="9"/>
      <c r="E2058" s="9"/>
      <c r="F2058" s="12"/>
      <c r="G2058" s="12"/>
      <c r="H2058" s="12"/>
      <c r="I2058" s="12"/>
      <c r="J2058" s="12"/>
      <c r="K2058" s="12"/>
      <c r="L2058" s="1"/>
    </row>
    <row r="2059" spans="1:16" ht="15.75" customHeight="1" x14ac:dyDescent="0.35">
      <c r="B2059" s="13"/>
      <c r="C2059" s="13"/>
      <c r="D2059" s="13"/>
      <c r="E2059" s="13"/>
      <c r="F2059" s="33" t="s">
        <v>341</v>
      </c>
      <c r="G2059" s="13"/>
      <c r="I2059" s="14"/>
    </row>
    <row r="2060" spans="1:16" x14ac:dyDescent="0.35">
      <c r="B2060" s="13" t="s">
        <v>5</v>
      </c>
      <c r="C2060" s="13" t="s">
        <v>1</v>
      </c>
      <c r="D2060" s="15" t="str">
        <f>VLOOKUP(A2061,Inventory!$A$4:$K$1139,7)</f>
        <v>Burman Coffee</v>
      </c>
      <c r="F2060" s="13" t="s">
        <v>235</v>
      </c>
      <c r="G2060" s="16"/>
      <c r="L2060" s="17"/>
      <c r="M2060" s="17"/>
    </row>
    <row r="2061" spans="1:16" x14ac:dyDescent="0.35">
      <c r="A2061">
        <v>136</v>
      </c>
      <c r="B2061" s="5">
        <v>44597</v>
      </c>
      <c r="C2061" s="15" t="str">
        <f>VLOOKUP(A2061,Inventory!$A$4:$K$1139,2)</f>
        <v>Indian Monsooned Malabar 2017</v>
      </c>
      <c r="F2061" s="18" t="s">
        <v>291</v>
      </c>
      <c r="G2061" s="2" t="s">
        <v>238</v>
      </c>
      <c r="L2061" s="17"/>
      <c r="M2061" s="17"/>
      <c r="P2061" s="8"/>
    </row>
    <row r="2062" spans="1:16" x14ac:dyDescent="0.35">
      <c r="I2062" s="9" t="s">
        <v>258</v>
      </c>
      <c r="L2062" s="19"/>
      <c r="M2062" s="19"/>
    </row>
    <row r="2063" spans="1:16" x14ac:dyDescent="0.35">
      <c r="B2063" s="20"/>
      <c r="C2063" s="11" t="s">
        <v>240</v>
      </c>
      <c r="D2063" s="11" t="s">
        <v>301</v>
      </c>
      <c r="E2063" s="11">
        <v>387</v>
      </c>
      <c r="F2063" s="11">
        <v>394</v>
      </c>
      <c r="G2063" s="11">
        <v>400</v>
      </c>
      <c r="H2063" s="11">
        <v>404</v>
      </c>
      <c r="I2063" s="11">
        <v>409</v>
      </c>
      <c r="J2063" s="11">
        <v>412</v>
      </c>
    </row>
    <row r="2064" spans="1:16" ht="15.75" customHeight="1" x14ac:dyDescent="0.35">
      <c r="B2064" s="20" t="s">
        <v>242</v>
      </c>
      <c r="C2064" s="30"/>
      <c r="D2064" s="30"/>
      <c r="E2064" s="23" t="s">
        <v>244</v>
      </c>
      <c r="F2064" s="23" t="s">
        <v>245</v>
      </c>
      <c r="G2064" s="23" t="s">
        <v>246</v>
      </c>
      <c r="H2064" s="23" t="s">
        <v>247</v>
      </c>
      <c r="I2064" s="23" t="s">
        <v>259</v>
      </c>
      <c r="J2064" s="23" t="s">
        <v>260</v>
      </c>
      <c r="O2064" s="4"/>
    </row>
    <row r="2065" spans="1:16" ht="1" customHeight="1" x14ac:dyDescent="0.35">
      <c r="B2065" s="24" t="s">
        <v>249</v>
      </c>
      <c r="C2065" s="25">
        <v>332</v>
      </c>
      <c r="D2065" s="25">
        <v>370</v>
      </c>
      <c r="E2065" s="25">
        <v>393</v>
      </c>
      <c r="F2065" s="25">
        <v>399</v>
      </c>
      <c r="G2065" s="25">
        <v>404</v>
      </c>
      <c r="H2065" s="25">
        <v>410</v>
      </c>
      <c r="I2065" s="25"/>
      <c r="J2065" s="25"/>
      <c r="O2065" t="e">
        <f>(O2063-3*O2062)/O2064</f>
        <v>#DIV/0!</v>
      </c>
    </row>
    <row r="2066" spans="1:16" ht="15.75" customHeight="1" x14ac:dyDescent="0.35">
      <c r="B2066" s="20" t="s">
        <v>250</v>
      </c>
      <c r="C2066" s="26">
        <v>0.23263888888888887</v>
      </c>
      <c r="D2066" s="26">
        <v>0.33333333333333331</v>
      </c>
      <c r="E2066" s="26">
        <v>0.44097222222222227</v>
      </c>
      <c r="F2066" s="26">
        <f>E2066+'Lookup Tables'!$N$1</f>
        <v>0.46180555555555558</v>
      </c>
      <c r="G2066" s="26">
        <f>F2066+'Lookup Tables'!$N$1</f>
        <v>0.4826388888888889</v>
      </c>
      <c r="H2066" s="26">
        <f>G2066+'Lookup Tables'!$N$1</f>
        <v>0.50347222222222221</v>
      </c>
      <c r="I2066" s="26">
        <f>H2066+'Lookup Tables'!$N$1</f>
        <v>0.52430555555555558</v>
      </c>
      <c r="J2066" s="26">
        <f>I2066+'Lookup Tables'!$S$1</f>
        <v>0.53472222222222221</v>
      </c>
      <c r="N2066">
        <f>MAX(F2063:M2063)-O2066</f>
        <v>25</v>
      </c>
      <c r="O2066" t="str">
        <f>RIGHT(E2063,3)</f>
        <v>387</v>
      </c>
    </row>
    <row r="2067" spans="1:16" ht="15.75" customHeight="1" x14ac:dyDescent="0.35">
      <c r="B2067" s="20" t="s">
        <v>251</v>
      </c>
      <c r="C2067" s="27">
        <v>0.2</v>
      </c>
      <c r="D2067" s="27">
        <v>0.5</v>
      </c>
      <c r="E2067" s="25"/>
      <c r="F2067" s="25"/>
      <c r="G2067" s="27" t="s">
        <v>274</v>
      </c>
      <c r="H2067" s="27"/>
      <c r="I2067" s="27"/>
      <c r="J2067" s="27"/>
      <c r="N2067" t="str">
        <f xml:space="preserve">  N2066 &amp; " degrees this time"</f>
        <v>25 degrees this time</v>
      </c>
    </row>
    <row r="2068" spans="1:16" ht="15.75" customHeight="1" x14ac:dyDescent="0.35">
      <c r="B2068" s="20" t="s">
        <v>252</v>
      </c>
      <c r="C2068" s="27">
        <v>0.9</v>
      </c>
      <c r="D2068" s="27">
        <v>0.5</v>
      </c>
      <c r="E2068" s="27">
        <v>0.3</v>
      </c>
      <c r="F2068" s="27"/>
      <c r="G2068" s="27" t="s">
        <v>274</v>
      </c>
      <c r="H2068" s="27"/>
      <c r="I2068" s="27"/>
      <c r="J2068" s="27" t="s">
        <v>275</v>
      </c>
    </row>
    <row r="2069" spans="1:16" ht="15.75" customHeight="1" x14ac:dyDescent="0.35">
      <c r="B2069" s="20"/>
      <c r="D2069" s="11"/>
      <c r="E2069" s="11"/>
      <c r="F2069" s="11"/>
      <c r="G2069" s="11"/>
      <c r="H2069" s="13"/>
    </row>
    <row r="2070" spans="1:16" ht="15.75" customHeight="1" x14ac:dyDescent="0.35">
      <c r="G2070" s="1" t="s">
        <v>347</v>
      </c>
      <c r="K2070" s="9"/>
      <c r="L2070" s="9"/>
      <c r="M2070" s="9"/>
    </row>
    <row r="2071" spans="1:16" ht="15.75" customHeight="1" x14ac:dyDescent="0.35">
      <c r="B2071" s="20"/>
      <c r="G2071" s="1"/>
      <c r="H2071" s="1"/>
      <c r="K2071" s="9"/>
      <c r="L2071" s="9"/>
      <c r="M2071" s="9"/>
    </row>
    <row r="2072" spans="1:16" ht="15.75" customHeight="1" x14ac:dyDescent="0.35">
      <c r="B2072" s="20"/>
      <c r="G2072" s="1"/>
      <c r="H2072" s="1"/>
      <c r="K2072" s="9" t="s">
        <v>254</v>
      </c>
      <c r="L2072" s="9"/>
      <c r="M2072" s="9"/>
    </row>
    <row r="2073" spans="1:16" ht="15.75" customHeight="1" x14ac:dyDescent="0.35">
      <c r="B2073" s="9"/>
      <c r="C2073" s="9"/>
      <c r="D2073" s="9"/>
      <c r="E2073" s="9"/>
      <c r="F2073" s="12"/>
      <c r="G2073" s="12"/>
      <c r="H2073" s="12"/>
      <c r="I2073" s="12"/>
      <c r="J2073" s="12"/>
      <c r="K2073" s="12"/>
      <c r="L2073" s="1"/>
    </row>
    <row r="2074" spans="1:16" ht="15.75" customHeight="1" x14ac:dyDescent="0.35">
      <c r="B2074" s="13"/>
      <c r="C2074" s="13"/>
      <c r="D2074" s="15"/>
      <c r="H2074" s="14" t="s">
        <v>255</v>
      </c>
    </row>
    <row r="2075" spans="1:16" x14ac:dyDescent="0.35">
      <c r="B2075" s="13" t="s">
        <v>5</v>
      </c>
      <c r="C2075" s="13" t="s">
        <v>1</v>
      </c>
      <c r="D2075" s="15" t="str">
        <f>VLOOKUP(A2076,Inventory!$A$4:$K$1139,7)</f>
        <v xml:space="preserve">Sweet Marias                       </v>
      </c>
      <c r="F2075" s="13" t="s">
        <v>235</v>
      </c>
      <c r="G2075" s="16"/>
      <c r="L2075" s="17"/>
      <c r="M2075" s="17"/>
    </row>
    <row r="2076" spans="1:16" x14ac:dyDescent="0.35">
      <c r="A2076">
        <v>158</v>
      </c>
      <c r="B2076" s="5">
        <v>44597</v>
      </c>
      <c r="C2076" s="15" t="str">
        <f>VLOOKUP(A2076,Inventory!$A$4:$K$1139,2)</f>
        <v>Ethiopia Organic Sidama Keramo 2020</v>
      </c>
      <c r="E2076" s="11"/>
      <c r="F2076" s="31" t="s">
        <v>291</v>
      </c>
      <c r="G2076" s="2" t="s">
        <v>286</v>
      </c>
      <c r="L2076" s="17"/>
      <c r="M2076" s="17"/>
      <c r="P2076" s="8"/>
    </row>
    <row r="2077" spans="1:16" x14ac:dyDescent="0.35">
      <c r="D2077" s="11"/>
      <c r="E2077" s="11"/>
      <c r="G2077" s="16"/>
      <c r="K2077" s="2"/>
      <c r="L2077" s="19"/>
      <c r="M2077" s="19"/>
    </row>
    <row r="2078" spans="1:16" x14ac:dyDescent="0.35">
      <c r="B2078" s="20"/>
      <c r="C2078" s="11" t="s">
        <v>240</v>
      </c>
      <c r="D2078" s="11" t="s">
        <v>272</v>
      </c>
      <c r="E2078" s="11">
        <v>361</v>
      </c>
      <c r="F2078" s="11">
        <v>366</v>
      </c>
      <c r="G2078" s="11">
        <v>372</v>
      </c>
      <c r="H2078" s="11">
        <v>382</v>
      </c>
      <c r="I2078" s="11"/>
      <c r="J2078" s="11"/>
      <c r="K2078" s="11"/>
      <c r="L2078" s="11"/>
    </row>
    <row r="2079" spans="1:16" ht="15.75" customHeight="1" x14ac:dyDescent="0.35">
      <c r="B2079" s="20" t="s">
        <v>242</v>
      </c>
      <c r="C2079" s="30"/>
      <c r="D2079" s="30"/>
      <c r="E2079" s="23" t="s">
        <v>244</v>
      </c>
      <c r="F2079" s="23" t="s">
        <v>245</v>
      </c>
      <c r="G2079" s="23" t="s">
        <v>246</v>
      </c>
      <c r="H2079" s="23" t="s">
        <v>247</v>
      </c>
      <c r="O2079" s="4"/>
    </row>
    <row r="2080" spans="1:16" ht="1" customHeight="1" x14ac:dyDescent="0.35">
      <c r="B2080" s="24" t="s">
        <v>249</v>
      </c>
      <c r="C2080" s="25"/>
      <c r="D2080" s="25"/>
      <c r="E2080" s="25"/>
      <c r="F2080" s="25"/>
      <c r="G2080" s="25"/>
      <c r="H2080" s="25"/>
      <c r="O2080" t="e">
        <f>(O2078-3*O2077)/O2079</f>
        <v>#DIV/0!</v>
      </c>
    </row>
    <row r="2081" spans="1:16" ht="15.75" customHeight="1" x14ac:dyDescent="0.35">
      <c r="B2081" s="20" t="s">
        <v>250</v>
      </c>
      <c r="C2081" s="26">
        <v>0.18055555555555555</v>
      </c>
      <c r="D2081" s="26">
        <v>0.26041666666666669</v>
      </c>
      <c r="E2081" s="26">
        <v>0.34027777777777773</v>
      </c>
      <c r="F2081" s="26">
        <f>E2081+'Lookup Tables'!$N$1</f>
        <v>0.36111111111111105</v>
      </c>
      <c r="G2081" s="26">
        <f>F2081+'Lookup Tables'!$N$1</f>
        <v>0.38194444444444436</v>
      </c>
      <c r="H2081" s="26">
        <f>G2081+'Lookup Tables'!$N$1</f>
        <v>0.40277777777777768</v>
      </c>
      <c r="N2081">
        <f>MAX(F2078:M2078)-O2081</f>
        <v>21</v>
      </c>
      <c r="O2081" t="str">
        <f>RIGHT(E2078,3)</f>
        <v>361</v>
      </c>
    </row>
    <row r="2082" spans="1:16" ht="15.75" customHeight="1" x14ac:dyDescent="0.35">
      <c r="B2082" s="20" t="s">
        <v>251</v>
      </c>
      <c r="C2082" s="27">
        <v>0.2</v>
      </c>
      <c r="D2082" s="27">
        <v>0.5</v>
      </c>
      <c r="E2082" s="27"/>
      <c r="F2082" s="27"/>
      <c r="G2082" s="27"/>
      <c r="H2082" s="27"/>
      <c r="N2082" t="str">
        <f xml:space="preserve">  N2081 &amp; " degrees this time"</f>
        <v>21 degrees this time</v>
      </c>
    </row>
    <row r="2083" spans="1:16" ht="15.75" customHeight="1" x14ac:dyDescent="0.35">
      <c r="B2083" s="20" t="s">
        <v>252</v>
      </c>
      <c r="C2083" s="27">
        <v>0.9</v>
      </c>
      <c r="D2083" s="27">
        <v>0.8</v>
      </c>
      <c r="E2083" s="27"/>
      <c r="F2083" s="27">
        <v>0.5</v>
      </c>
      <c r="G2083" s="27" t="s">
        <v>274</v>
      </c>
      <c r="H2083" s="27" t="s">
        <v>275</v>
      </c>
    </row>
    <row r="2084" spans="1:16" ht="15.75" customHeight="1" x14ac:dyDescent="0.35">
      <c r="B2084" s="20"/>
      <c r="F2084" s="1"/>
    </row>
    <row r="2085" spans="1:16" ht="15.75" customHeight="1" x14ac:dyDescent="0.35">
      <c r="B2085" s="20"/>
      <c r="G2085" s="1" t="s">
        <v>351</v>
      </c>
      <c r="K2085" s="32" t="s">
        <v>369</v>
      </c>
      <c r="L2085" s="9"/>
      <c r="M2085" s="9"/>
    </row>
    <row r="2086" spans="1:16" ht="15.75" customHeight="1" x14ac:dyDescent="0.35">
      <c r="B2086" s="20"/>
      <c r="G2086" s="1"/>
      <c r="H2086" s="1"/>
      <c r="K2086" s="32"/>
      <c r="L2086" s="9"/>
      <c r="M2086" s="9"/>
    </row>
    <row r="2087" spans="1:16" ht="15.75" customHeight="1" x14ac:dyDescent="0.35">
      <c r="B2087" s="20"/>
      <c r="G2087" s="1"/>
      <c r="H2087" s="1"/>
      <c r="K2087" s="9" t="s">
        <v>300</v>
      </c>
      <c r="L2087" s="9"/>
      <c r="M2087" s="9"/>
    </row>
    <row r="2088" spans="1:16" ht="15.75" customHeight="1" x14ac:dyDescent="0.35">
      <c r="B2088" s="9"/>
      <c r="C2088" s="9"/>
      <c r="D2088" s="9"/>
      <c r="E2088" s="9"/>
      <c r="F2088" s="12"/>
      <c r="G2088" s="12"/>
      <c r="H2088" s="12"/>
      <c r="I2088" s="12"/>
      <c r="J2088" s="12"/>
      <c r="K2088" s="12"/>
      <c r="L2088" s="1"/>
    </row>
    <row r="2089" spans="1:16" ht="15.75" customHeight="1" x14ac:dyDescent="0.35">
      <c r="B2089" s="13"/>
      <c r="C2089" s="13"/>
      <c r="D2089" s="15"/>
      <c r="F2089" s="33" t="s">
        <v>316</v>
      </c>
    </row>
    <row r="2090" spans="1:16" x14ac:dyDescent="0.35">
      <c r="B2090" s="13" t="s">
        <v>5</v>
      </c>
      <c r="C2090" s="13" t="s">
        <v>1</v>
      </c>
      <c r="D2090" s="15" t="str">
        <f>VLOOKUP(A2091,Inventory!$A$4:$K$1139,7)</f>
        <v xml:space="preserve">Klatch                             </v>
      </c>
      <c r="F2090" s="13" t="s">
        <v>235</v>
      </c>
      <c r="G2090" s="16"/>
      <c r="L2090" s="17"/>
      <c r="M2090" s="17"/>
    </row>
    <row r="2091" spans="1:16" x14ac:dyDescent="0.35">
      <c r="A2091">
        <v>168</v>
      </c>
      <c r="B2091" s="5">
        <v>44597</v>
      </c>
      <c r="C2091" s="15" t="str">
        <f>VLOOKUP(A2091,Inventory!$A$4:$K$1139,2)</f>
        <v>Ethiopia Yirgacheffe BedHatu Washed 2021</v>
      </c>
      <c r="F2091" s="34" t="s">
        <v>279</v>
      </c>
      <c r="G2091" s="2" t="s">
        <v>286</v>
      </c>
      <c r="L2091" s="17"/>
      <c r="M2091" s="17"/>
      <c r="P2091" s="8"/>
    </row>
    <row r="2092" spans="1:16" x14ac:dyDescent="0.35">
      <c r="G2092" s="16"/>
      <c r="L2092" s="19"/>
      <c r="M2092" s="19"/>
    </row>
    <row r="2093" spans="1:16" x14ac:dyDescent="0.35">
      <c r="B2093" s="20"/>
      <c r="C2093" s="11" t="s">
        <v>240</v>
      </c>
      <c r="D2093" s="11" t="s">
        <v>241</v>
      </c>
      <c r="E2093" s="11">
        <v>364</v>
      </c>
      <c r="F2093" s="11">
        <v>372</v>
      </c>
      <c r="G2093" s="11">
        <v>379</v>
      </c>
      <c r="H2093" s="11">
        <v>387</v>
      </c>
      <c r="I2093" s="11">
        <v>393</v>
      </c>
      <c r="J2093" t="s">
        <v>373</v>
      </c>
      <c r="L2093" s="11"/>
    </row>
    <row r="2094" spans="1:16" ht="15.75" customHeight="1" x14ac:dyDescent="0.35">
      <c r="B2094" s="20" t="s">
        <v>242</v>
      </c>
      <c r="C2094" s="30"/>
      <c r="D2094" s="30"/>
      <c r="E2094" s="23" t="s">
        <v>244</v>
      </c>
      <c r="F2094" s="23" t="s">
        <v>245</v>
      </c>
      <c r="G2094" s="23" t="s">
        <v>246</v>
      </c>
      <c r="H2094" s="23" t="s">
        <v>247</v>
      </c>
      <c r="I2094" s="23" t="s">
        <v>248</v>
      </c>
      <c r="O2094" s="4"/>
    </row>
    <row r="2095" spans="1:16" ht="1" customHeight="1" x14ac:dyDescent="0.35">
      <c r="B2095" s="24" t="s">
        <v>249</v>
      </c>
      <c r="C2095" s="25"/>
      <c r="D2095" s="25"/>
      <c r="E2095" s="25"/>
      <c r="F2095" s="25"/>
      <c r="G2095" s="25"/>
      <c r="H2095" s="25"/>
      <c r="I2095" s="25"/>
      <c r="O2095" t="e">
        <f>(O2093-3*O2092)/O2094</f>
        <v>#DIV/0!</v>
      </c>
    </row>
    <row r="2096" spans="1:16" ht="15.75" customHeight="1" x14ac:dyDescent="0.35">
      <c r="B2096" s="20" t="s">
        <v>250</v>
      </c>
      <c r="C2096" s="26">
        <v>0.19444444444444445</v>
      </c>
      <c r="D2096" s="26">
        <v>0.26041666666666669</v>
      </c>
      <c r="E2096" s="26">
        <v>0.33333333333333331</v>
      </c>
      <c r="F2096" s="26">
        <f>E2096+'Lookup Tables'!$N$1</f>
        <v>0.35416666666666663</v>
      </c>
      <c r="G2096" s="26">
        <f>F2096+'Lookup Tables'!$N$1</f>
        <v>0.37499999999999994</v>
      </c>
      <c r="H2096" s="26">
        <f>G2096+'Lookup Tables'!$N$1</f>
        <v>0.39583333333333326</v>
      </c>
      <c r="I2096" s="26">
        <f>H2096+'Lookup Tables'!$S$1</f>
        <v>0.40624999999999994</v>
      </c>
      <c r="N2096">
        <f>MAX(F2093:M2093)-O2096</f>
        <v>29</v>
      </c>
      <c r="O2096" t="str">
        <f>RIGHT(E2093,3)</f>
        <v>364</v>
      </c>
    </row>
    <row r="2097" spans="1:16" ht="15.75" customHeight="1" x14ac:dyDescent="0.35">
      <c r="B2097" s="20" t="s">
        <v>251</v>
      </c>
      <c r="C2097" s="27">
        <v>0.2</v>
      </c>
      <c r="D2097" s="27">
        <v>0.5</v>
      </c>
      <c r="E2097" s="27"/>
      <c r="F2097" s="27"/>
      <c r="G2097" s="27"/>
      <c r="H2097" s="25"/>
      <c r="I2097" s="27"/>
      <c r="N2097" t="str">
        <f xml:space="preserve">  N2096 &amp; " degrees this time"</f>
        <v>29 degrees this time</v>
      </c>
    </row>
    <row r="2098" spans="1:16" ht="15.75" customHeight="1" x14ac:dyDescent="0.35">
      <c r="B2098" s="20" t="s">
        <v>252</v>
      </c>
      <c r="C2098" s="27">
        <v>0.9</v>
      </c>
      <c r="D2098" s="27">
        <v>0.8</v>
      </c>
      <c r="E2098" s="27"/>
      <c r="F2098" s="27"/>
      <c r="G2098" s="27">
        <v>0.3</v>
      </c>
      <c r="H2098" s="27"/>
      <c r="I2098" s="27" t="s">
        <v>275</v>
      </c>
    </row>
    <row r="2099" spans="1:16" ht="15.75" customHeight="1" x14ac:dyDescent="0.35">
      <c r="B2099" s="20"/>
      <c r="C2099" s="30"/>
      <c r="D2099" s="11"/>
      <c r="E2099" s="1"/>
      <c r="F2099" s="11"/>
      <c r="G2099" s="11"/>
      <c r="H2099" s="11"/>
    </row>
    <row r="2100" spans="1:16" ht="15.75" customHeight="1" x14ac:dyDescent="0.35">
      <c r="B2100" s="38"/>
      <c r="D2100" s="11"/>
      <c r="E2100" s="11"/>
      <c r="F2100" s="11"/>
      <c r="G2100" s="1" t="s">
        <v>292</v>
      </c>
      <c r="K2100" s="9" t="s">
        <v>293</v>
      </c>
      <c r="L2100" s="9"/>
      <c r="M2100" s="9"/>
    </row>
    <row r="2101" spans="1:16" ht="15.75" customHeight="1" x14ac:dyDescent="0.35">
      <c r="B2101" s="20"/>
      <c r="G2101" s="1"/>
      <c r="H2101" s="1"/>
      <c r="K2101" s="9"/>
      <c r="L2101" s="9"/>
      <c r="M2101" s="9"/>
    </row>
    <row r="2102" spans="1:16" ht="15.75" customHeight="1" x14ac:dyDescent="0.35">
      <c r="B2102" s="20"/>
      <c r="G2102" s="1"/>
      <c r="H2102" s="1"/>
      <c r="K2102" s="9" t="s">
        <v>254</v>
      </c>
      <c r="L2102" s="9"/>
      <c r="M2102" s="9"/>
    </row>
    <row r="2103" spans="1:16" ht="15.75" customHeight="1" x14ac:dyDescent="0.35">
      <c r="B2103" s="9"/>
      <c r="C2103" s="9"/>
      <c r="D2103" s="9"/>
      <c r="E2103" s="9"/>
      <c r="F2103" s="12"/>
      <c r="G2103" s="12"/>
      <c r="H2103" s="12"/>
      <c r="I2103" s="12"/>
      <c r="J2103" s="12"/>
      <c r="K2103" s="12"/>
      <c r="L2103" s="1"/>
    </row>
    <row r="2104" spans="1:16" ht="15.75" customHeight="1" x14ac:dyDescent="0.35">
      <c r="B2104" s="13"/>
      <c r="C2104" s="13"/>
      <c r="D2104" s="15"/>
      <c r="G2104" s="16"/>
      <c r="H2104" s="14" t="s">
        <v>255</v>
      </c>
      <c r="I2104" s="14"/>
      <c r="L2104" s="2"/>
    </row>
    <row r="2105" spans="1:16" x14ac:dyDescent="0.35">
      <c r="B2105" s="13" t="s">
        <v>5</v>
      </c>
      <c r="C2105" s="13" t="s">
        <v>1</v>
      </c>
      <c r="D2105" s="15" t="str">
        <f>VLOOKUP(A2106,Inventory!$A$4:$K$1139,7)</f>
        <v>Royal coffee</v>
      </c>
      <c r="F2105" s="13" t="s">
        <v>235</v>
      </c>
      <c r="G2105" s="16"/>
      <c r="L2105" s="17"/>
      <c r="M2105" s="17"/>
    </row>
    <row r="2106" spans="1:16" x14ac:dyDescent="0.35">
      <c r="A2106">
        <v>141</v>
      </c>
      <c r="B2106" s="5">
        <v>44597</v>
      </c>
      <c r="C2106" s="15" t="str">
        <f>VLOOKUP(A2106,Inventory!$A$4:$K$1139,2)</f>
        <v>Yemen Al-Haymah Rooftop Raised Bed Natural 2017</v>
      </c>
      <c r="F2106" s="31" t="s">
        <v>291</v>
      </c>
      <c r="G2106" s="2" t="s">
        <v>286</v>
      </c>
      <c r="L2106" s="17"/>
      <c r="M2106" s="17"/>
      <c r="P2106" s="8"/>
    </row>
    <row r="2107" spans="1:16" x14ac:dyDescent="0.35">
      <c r="B2107" t="s">
        <v>16</v>
      </c>
      <c r="G2107" s="16"/>
      <c r="K2107" s="2"/>
      <c r="L2107" s="19"/>
      <c r="M2107" s="19"/>
    </row>
    <row r="2108" spans="1:16" x14ac:dyDescent="0.35">
      <c r="B2108" s="20"/>
      <c r="C2108" s="11" t="s">
        <v>240</v>
      </c>
      <c r="D2108" s="11" t="s">
        <v>272</v>
      </c>
      <c r="E2108" s="11">
        <v>369</v>
      </c>
      <c r="F2108" s="11">
        <v>379</v>
      </c>
      <c r="G2108" s="11">
        <v>386</v>
      </c>
      <c r="H2108" s="11">
        <v>390</v>
      </c>
      <c r="I2108" s="11"/>
      <c r="J2108" s="11"/>
      <c r="K2108" s="11"/>
      <c r="L2108" s="11"/>
    </row>
    <row r="2109" spans="1:16" ht="15.75" customHeight="1" x14ac:dyDescent="0.35">
      <c r="B2109" s="20" t="s">
        <v>242</v>
      </c>
      <c r="C2109" s="21"/>
      <c r="D2109" s="22" t="s">
        <v>294</v>
      </c>
      <c r="E2109" s="23" t="s">
        <v>244</v>
      </c>
      <c r="F2109" s="23" t="s">
        <v>245</v>
      </c>
      <c r="G2109" s="23" t="s">
        <v>246</v>
      </c>
      <c r="H2109" s="23" t="s">
        <v>273</v>
      </c>
      <c r="I2109" s="23" t="s">
        <v>247</v>
      </c>
      <c r="O2109" s="4"/>
    </row>
    <row r="2110" spans="1:16" ht="1" customHeight="1" x14ac:dyDescent="0.35">
      <c r="B2110" s="24" t="s">
        <v>249</v>
      </c>
      <c r="C2110" s="25">
        <v>320</v>
      </c>
      <c r="D2110" s="25">
        <v>350</v>
      </c>
      <c r="E2110" s="25"/>
      <c r="F2110" s="25"/>
      <c r="G2110" s="25"/>
      <c r="H2110" s="23" t="s">
        <v>247</v>
      </c>
      <c r="I2110" s="25"/>
      <c r="O2110" t="e">
        <f>(O2108-3*O2107)/O2109</f>
        <v>#DIV/0!</v>
      </c>
    </row>
    <row r="2111" spans="1:16" ht="15.75" customHeight="1" x14ac:dyDescent="0.35">
      <c r="B2111" s="20" t="s">
        <v>250</v>
      </c>
      <c r="C2111" s="26">
        <v>0.20138888888888887</v>
      </c>
      <c r="D2111" s="26">
        <v>0.29166666666666669</v>
      </c>
      <c r="E2111" s="26">
        <v>0.37847222222222227</v>
      </c>
      <c r="F2111" s="26">
        <f>E2111+'Lookup Tables'!$N$1</f>
        <v>0.39930555555555558</v>
      </c>
      <c r="G2111" s="26">
        <f>F2111+'Lookup Tables'!$N$1</f>
        <v>0.4201388888888889</v>
      </c>
      <c r="H2111" s="26">
        <f>G2111+'Lookup Tables'!$S$1</f>
        <v>0.43055555555555558</v>
      </c>
      <c r="I2111" s="26">
        <f>H2111+'Lookup Tables'!$S$1</f>
        <v>0.44097222222222227</v>
      </c>
      <c r="N2111">
        <f>MAX(F2108:M2108)-O2111</f>
        <v>21</v>
      </c>
      <c r="O2111" t="str">
        <f>RIGHT(E2108,3)</f>
        <v>369</v>
      </c>
    </row>
    <row r="2112" spans="1:16" ht="15.75" customHeight="1" x14ac:dyDescent="0.35">
      <c r="B2112" s="20" t="s">
        <v>251</v>
      </c>
      <c r="C2112" s="27">
        <v>0.2</v>
      </c>
      <c r="D2112" s="27">
        <v>0.5</v>
      </c>
      <c r="E2112" s="27"/>
      <c r="F2112" s="27"/>
      <c r="G2112" s="27">
        <v>0.25</v>
      </c>
      <c r="H2112" s="27"/>
      <c r="I2112" s="27"/>
      <c r="N2112" t="str">
        <f xml:space="preserve">  N2111 &amp; " degrees this time"</f>
        <v>21 degrees this time</v>
      </c>
    </row>
    <row r="2113" spans="1:16" ht="15.75" customHeight="1" x14ac:dyDescent="0.35">
      <c r="B2113" s="20" t="s">
        <v>252</v>
      </c>
      <c r="C2113" s="27">
        <v>0.9</v>
      </c>
      <c r="D2113" s="27">
        <v>0.7</v>
      </c>
      <c r="E2113" s="27">
        <v>0.6</v>
      </c>
      <c r="F2113" s="27"/>
      <c r="G2113" s="27"/>
      <c r="H2113" s="27"/>
      <c r="I2113" s="27" t="s">
        <v>275</v>
      </c>
    </row>
    <row r="2114" spans="1:16" ht="15.75" customHeight="1" x14ac:dyDescent="0.35">
      <c r="B2114" s="20"/>
      <c r="D2114" s="11"/>
      <c r="E2114" s="40"/>
      <c r="F2114" s="11"/>
      <c r="G2114" s="11"/>
    </row>
    <row r="2115" spans="1:16" ht="15.75" customHeight="1" x14ac:dyDescent="0.35">
      <c r="B2115" s="38"/>
      <c r="D2115" s="15"/>
      <c r="F2115" s="13"/>
      <c r="G2115" s="1" t="s">
        <v>296</v>
      </c>
      <c r="K2115" s="32" t="s">
        <v>377</v>
      </c>
      <c r="L2115" s="9"/>
      <c r="M2115" s="9"/>
    </row>
    <row r="2116" spans="1:16" ht="15.75" customHeight="1" x14ac:dyDescent="0.35">
      <c r="B2116" s="20"/>
      <c r="G2116" s="1"/>
      <c r="H2116" s="1"/>
      <c r="K2116" s="9"/>
      <c r="L2116" s="9"/>
      <c r="M2116" s="9"/>
    </row>
    <row r="2117" spans="1:16" ht="15.75" customHeight="1" x14ac:dyDescent="0.35">
      <c r="B2117" s="20"/>
      <c r="G2117" s="1"/>
      <c r="H2117" s="1"/>
      <c r="K2117" s="9" t="s">
        <v>297</v>
      </c>
      <c r="L2117" s="9"/>
      <c r="M2117" s="9"/>
    </row>
    <row r="2118" spans="1:16" ht="15.75" customHeight="1" x14ac:dyDescent="0.35">
      <c r="B2118" s="9"/>
      <c r="C2118" s="9"/>
      <c r="D2118" s="9"/>
      <c r="E2118" s="9"/>
      <c r="F2118" s="12"/>
      <c r="G2118" s="12"/>
      <c r="H2118" s="12"/>
      <c r="I2118" s="12"/>
      <c r="J2118" s="12"/>
      <c r="K2118" s="12"/>
      <c r="L2118" s="1"/>
    </row>
    <row r="2119" spans="1:16" ht="15.75" customHeight="1" x14ac:dyDescent="0.35">
      <c r="B2119" s="13"/>
      <c r="C2119" s="13"/>
      <c r="D2119" s="13"/>
      <c r="E2119" s="13"/>
      <c r="G2119" s="13"/>
      <c r="I2119" s="14"/>
    </row>
    <row r="2120" spans="1:16" x14ac:dyDescent="0.35">
      <c r="B2120" s="13" t="s">
        <v>5</v>
      </c>
      <c r="C2120" s="13" t="s">
        <v>1</v>
      </c>
      <c r="D2120" s="15" t="str">
        <f>VLOOKUP(A2121,Inventory!$A$4:$K$1139,7)</f>
        <v xml:space="preserve">Sweet Marias                       </v>
      </c>
      <c r="F2120" s="13" t="s">
        <v>235</v>
      </c>
      <c r="G2120" s="16"/>
      <c r="H2120" s="14" t="s">
        <v>236</v>
      </c>
      <c r="L2120" s="17"/>
      <c r="M2120" s="17"/>
    </row>
    <row r="2121" spans="1:16" x14ac:dyDescent="0.35">
      <c r="A2121">
        <v>157</v>
      </c>
      <c r="B2121" s="5">
        <v>44583</v>
      </c>
      <c r="C2121" s="15" t="str">
        <f>VLOOKUP(A2121,Inventory!$A$4:$K$1139,2)</f>
        <v>Burundi Collines 2020 SWP Decaf</v>
      </c>
      <c r="F2121" s="18" t="s">
        <v>237</v>
      </c>
      <c r="G2121" s="2" t="s">
        <v>238</v>
      </c>
      <c r="L2121" s="17"/>
      <c r="M2121" s="17"/>
      <c r="P2121" s="8"/>
    </row>
    <row r="2122" spans="1:16" x14ac:dyDescent="0.35">
      <c r="I2122" s="2" t="s">
        <v>239</v>
      </c>
      <c r="J2122" s="1" t="s">
        <v>16</v>
      </c>
      <c r="L2122" s="19"/>
      <c r="M2122" s="19"/>
    </row>
    <row r="2123" spans="1:16" x14ac:dyDescent="0.35">
      <c r="C2123" s="11" t="s">
        <v>240</v>
      </c>
      <c r="D2123" s="11" t="s">
        <v>241</v>
      </c>
      <c r="E2123" s="11">
        <v>370</v>
      </c>
      <c r="F2123" s="11">
        <v>377</v>
      </c>
      <c r="G2123" s="11">
        <v>383</v>
      </c>
      <c r="H2123" s="11">
        <v>390</v>
      </c>
      <c r="I2123" s="11">
        <v>394</v>
      </c>
      <c r="J2123" s="11"/>
      <c r="K2123" s="11"/>
      <c r="L2123" s="11"/>
    </row>
    <row r="2124" spans="1:16" ht="15.75" customHeight="1" x14ac:dyDescent="0.35">
      <c r="B2124" s="20" t="s">
        <v>242</v>
      </c>
      <c r="C2124" s="21"/>
      <c r="D2124" s="22" t="s">
        <v>333</v>
      </c>
      <c r="E2124" s="23" t="s">
        <v>244</v>
      </c>
      <c r="F2124" s="23" t="s">
        <v>245</v>
      </c>
      <c r="G2124" s="23" t="s">
        <v>246</v>
      </c>
      <c r="H2124" s="23" t="s">
        <v>247</v>
      </c>
      <c r="I2124" s="23" t="s">
        <v>248</v>
      </c>
      <c r="J2124" s="23" t="s">
        <v>259</v>
      </c>
      <c r="O2124" s="4"/>
    </row>
    <row r="2125" spans="1:16" ht="1" customHeight="1" x14ac:dyDescent="0.35">
      <c r="B2125" s="24" t="s">
        <v>249</v>
      </c>
      <c r="C2125" s="25">
        <v>320</v>
      </c>
      <c r="D2125" s="25">
        <v>350</v>
      </c>
      <c r="E2125" s="25">
        <v>377</v>
      </c>
      <c r="F2125" s="25">
        <v>384</v>
      </c>
      <c r="G2125" s="25">
        <v>388</v>
      </c>
      <c r="H2125" s="25">
        <v>392</v>
      </c>
      <c r="I2125" s="25"/>
      <c r="J2125" s="25">
        <v>415</v>
      </c>
      <c r="O2125" t="e">
        <f>(O2123-3*O2122)/O2124</f>
        <v>#DIV/0!</v>
      </c>
    </row>
    <row r="2126" spans="1:16" ht="15.75" customHeight="1" x14ac:dyDescent="0.35">
      <c r="B2126" s="20" t="s">
        <v>250</v>
      </c>
      <c r="C2126" s="26">
        <v>0.25</v>
      </c>
      <c r="D2126" s="26">
        <v>0.33333333333333331</v>
      </c>
      <c r="E2126" s="26">
        <v>0.4375</v>
      </c>
      <c r="F2126" s="26">
        <f>E2126+'Lookup Tables'!$N$1</f>
        <v>0.45833333333333331</v>
      </c>
      <c r="G2126" s="26">
        <f>F2126+'Lookup Tables'!$N$1</f>
        <v>0.47916666666666663</v>
      </c>
      <c r="H2126" s="26">
        <f>G2126+'Lookup Tables'!$N$1</f>
        <v>0.49999999999999994</v>
      </c>
      <c r="I2126" s="26">
        <f>H2126+'Lookup Tables'!$S$1</f>
        <v>0.51041666666666663</v>
      </c>
      <c r="J2126" s="26">
        <f>I2126+'Lookup Tables'!$M$1</f>
        <v>0.52083333333333326</v>
      </c>
      <c r="N2126">
        <f>MAX(F2123:M2123)-O2126</f>
        <v>24</v>
      </c>
      <c r="O2126" t="str">
        <f>RIGHT(E2123,3)</f>
        <v>370</v>
      </c>
    </row>
    <row r="2127" spans="1:16" ht="15.75" customHeight="1" x14ac:dyDescent="0.35">
      <c r="B2127" s="20" t="s">
        <v>251</v>
      </c>
      <c r="C2127" s="27">
        <v>0.2</v>
      </c>
      <c r="D2127" s="27">
        <v>0.5</v>
      </c>
      <c r="E2127" s="27"/>
      <c r="F2127" s="27"/>
      <c r="G2127" s="27"/>
      <c r="H2127" s="27"/>
      <c r="I2127" s="25"/>
      <c r="J2127" s="27"/>
      <c r="N2127" t="str">
        <f xml:space="preserve">  N2126 &amp; " degrees this time"</f>
        <v>24 degrees this time</v>
      </c>
    </row>
    <row r="2128" spans="1:16" ht="15.75" customHeight="1" x14ac:dyDescent="0.35">
      <c r="B2128" s="20" t="s">
        <v>252</v>
      </c>
      <c r="C2128" s="27">
        <v>0.9</v>
      </c>
      <c r="D2128" s="27">
        <v>0.7</v>
      </c>
      <c r="E2128" s="27">
        <v>0.6</v>
      </c>
      <c r="F2128" s="27"/>
      <c r="G2128" s="27"/>
      <c r="H2128" s="27"/>
      <c r="I2128" s="27" t="s">
        <v>275</v>
      </c>
      <c r="J2128" s="27"/>
    </row>
    <row r="2129" spans="1:16" ht="15.75" customHeight="1" x14ac:dyDescent="0.35">
      <c r="B2129" s="20"/>
      <c r="D2129" s="11"/>
      <c r="E2129" s="11"/>
      <c r="F2129" s="28"/>
      <c r="H2129" s="1"/>
      <c r="I2129" s="1"/>
    </row>
    <row r="2130" spans="1:16" ht="15.75" customHeight="1" x14ac:dyDescent="0.35">
      <c r="C2130" s="1"/>
      <c r="G2130" s="1" t="s">
        <v>253</v>
      </c>
      <c r="K2130" s="12"/>
      <c r="L2130" s="9"/>
      <c r="M2130" s="9"/>
    </row>
    <row r="2131" spans="1:16" ht="15.75" customHeight="1" x14ac:dyDescent="0.35">
      <c r="B2131" s="20"/>
      <c r="G2131" s="1"/>
      <c r="H2131" s="1"/>
      <c r="K2131" s="9"/>
      <c r="L2131" s="9"/>
      <c r="M2131" s="9"/>
    </row>
    <row r="2132" spans="1:16" ht="15.75" customHeight="1" x14ac:dyDescent="0.35">
      <c r="B2132" s="20"/>
      <c r="G2132" s="1"/>
      <c r="H2132" s="1"/>
      <c r="K2132" s="9" t="s">
        <v>254</v>
      </c>
      <c r="L2132" s="9"/>
      <c r="M2132" s="9"/>
    </row>
    <row r="2133" spans="1:16" ht="15.75" customHeight="1" x14ac:dyDescent="0.35">
      <c r="B2133" s="9"/>
      <c r="C2133" s="9"/>
      <c r="D2133" s="9"/>
      <c r="E2133" s="9"/>
      <c r="F2133" s="12"/>
      <c r="G2133" s="12"/>
      <c r="H2133" s="12"/>
      <c r="I2133" s="12"/>
      <c r="J2133" s="12"/>
      <c r="K2133" s="12"/>
      <c r="L2133" s="1"/>
    </row>
    <row r="2134" spans="1:16" ht="15.75" customHeight="1" x14ac:dyDescent="0.35">
      <c r="B2134" s="13"/>
      <c r="C2134" s="13"/>
      <c r="D2134" s="15"/>
      <c r="H2134" s="14" t="s">
        <v>255</v>
      </c>
      <c r="I2134" s="14"/>
    </row>
    <row r="2135" spans="1:16" x14ac:dyDescent="0.35">
      <c r="B2135" s="13" t="s">
        <v>5</v>
      </c>
      <c r="C2135" s="13" t="s">
        <v>1</v>
      </c>
      <c r="D2135" s="15" t="str">
        <f>VLOOKUP(A2136,Inventory!$A$4:$K$1139,7)</f>
        <v xml:space="preserve">Sweet Marias                       </v>
      </c>
      <c r="F2135" s="13" t="s">
        <v>235</v>
      </c>
      <c r="G2135" s="16"/>
      <c r="H2135" s="14" t="s">
        <v>256</v>
      </c>
    </row>
    <row r="2136" spans="1:16" x14ac:dyDescent="0.35">
      <c r="A2136">
        <v>157</v>
      </c>
      <c r="B2136" s="5">
        <v>44583</v>
      </c>
      <c r="C2136" s="15" t="str">
        <f>VLOOKUP(A2136,Inventory!$A$4:$K$1139,2)</f>
        <v>Burundi Collines 2020 SWP Decaf</v>
      </c>
      <c r="F2136" s="18" t="s">
        <v>257</v>
      </c>
      <c r="G2136" s="2" t="s">
        <v>238</v>
      </c>
      <c r="P2136" s="8"/>
    </row>
    <row r="2137" spans="1:16" x14ac:dyDescent="0.35">
      <c r="H2137" s="2" t="s">
        <v>258</v>
      </c>
    </row>
    <row r="2138" spans="1:16" x14ac:dyDescent="0.35">
      <c r="C2138" s="11" t="s">
        <v>240</v>
      </c>
      <c r="D2138" s="11" t="s">
        <v>241</v>
      </c>
      <c r="E2138" s="11">
        <v>374</v>
      </c>
      <c r="F2138" s="11">
        <v>381</v>
      </c>
      <c r="G2138" s="11">
        <v>388</v>
      </c>
      <c r="H2138" s="11">
        <v>396</v>
      </c>
      <c r="I2138" s="11"/>
      <c r="J2138" s="11"/>
      <c r="K2138" s="11"/>
      <c r="L2138" s="11"/>
    </row>
    <row r="2139" spans="1:16" ht="15.75" customHeight="1" x14ac:dyDescent="0.35">
      <c r="B2139" s="20" t="s">
        <v>242</v>
      </c>
      <c r="C2139" s="21"/>
      <c r="D2139" s="22" t="s">
        <v>294</v>
      </c>
      <c r="E2139" s="23" t="s">
        <v>244</v>
      </c>
      <c r="F2139" s="23" t="s">
        <v>245</v>
      </c>
      <c r="G2139" s="23" t="s">
        <v>246</v>
      </c>
      <c r="H2139" s="23" t="s">
        <v>247</v>
      </c>
      <c r="I2139" s="23" t="s">
        <v>259</v>
      </c>
      <c r="J2139" s="23" t="s">
        <v>260</v>
      </c>
      <c r="K2139" s="23" t="s">
        <v>261</v>
      </c>
      <c r="O2139" s="4"/>
    </row>
    <row r="2140" spans="1:16" ht="1" customHeight="1" x14ac:dyDescent="0.35">
      <c r="B2140" s="24" t="s">
        <v>249</v>
      </c>
      <c r="C2140" s="25">
        <v>320</v>
      </c>
      <c r="D2140" s="25">
        <v>350</v>
      </c>
      <c r="E2140" s="25">
        <v>377</v>
      </c>
      <c r="F2140" s="25">
        <v>384</v>
      </c>
      <c r="G2140" s="25">
        <v>388</v>
      </c>
      <c r="H2140" s="25">
        <v>392</v>
      </c>
      <c r="I2140" s="25">
        <v>395</v>
      </c>
      <c r="J2140" s="25">
        <v>415</v>
      </c>
      <c r="K2140" s="25">
        <v>415</v>
      </c>
      <c r="O2140" t="e">
        <f>(O2138-3*O2137)/O2139</f>
        <v>#DIV/0!</v>
      </c>
    </row>
    <row r="2141" spans="1:16" ht="15.75" customHeight="1" x14ac:dyDescent="0.35">
      <c r="B2141" s="20" t="s">
        <v>250</v>
      </c>
      <c r="C2141" s="26">
        <v>0.24652777777777779</v>
      </c>
      <c r="D2141" s="26">
        <v>0.33680555555555558</v>
      </c>
      <c r="E2141" s="26">
        <v>0.47222222222222227</v>
      </c>
      <c r="F2141" s="26">
        <f>E2141+'Lookup Tables'!$N$1</f>
        <v>0.49305555555555558</v>
      </c>
      <c r="G2141" s="26">
        <f>F2141+'Lookup Tables'!$N$1</f>
        <v>0.51388888888888895</v>
      </c>
      <c r="H2141" s="26">
        <f>G2141+'Lookup Tables'!$N$1</f>
        <v>0.53472222222222232</v>
      </c>
      <c r="I2141" s="26">
        <f>H2141+'Lookup Tables'!$N$1</f>
        <v>0.55555555555555569</v>
      </c>
      <c r="J2141" s="26">
        <f>I2141+'Lookup Tables'!$M$1</f>
        <v>0.56597222222222232</v>
      </c>
      <c r="K2141" s="26">
        <f>J2141+'Lookup Tables'!$M$1</f>
        <v>0.57638888888888895</v>
      </c>
      <c r="N2141">
        <f>MAX(F2138:M2138)-O2141</f>
        <v>22</v>
      </c>
      <c r="O2141" t="str">
        <f>RIGHT(E2138,3)</f>
        <v>374</v>
      </c>
    </row>
    <row r="2142" spans="1:16" ht="15.75" customHeight="1" x14ac:dyDescent="0.35">
      <c r="B2142" s="20" t="s">
        <v>251</v>
      </c>
      <c r="C2142" s="27">
        <v>0.2</v>
      </c>
      <c r="D2142" s="27">
        <v>0.5</v>
      </c>
      <c r="E2142" s="27"/>
      <c r="F2142" s="27"/>
      <c r="G2142" s="27"/>
      <c r="H2142" s="27"/>
      <c r="I2142" s="27"/>
      <c r="J2142" s="27"/>
      <c r="K2142" s="25"/>
      <c r="N2142" t="str">
        <f xml:space="preserve">  N2141 &amp; " degrees this time"</f>
        <v>22 degrees this time</v>
      </c>
    </row>
    <row r="2143" spans="1:16" ht="15.75" customHeight="1" x14ac:dyDescent="0.35">
      <c r="B2143" s="20" t="s">
        <v>252</v>
      </c>
      <c r="C2143" s="27">
        <v>0.9</v>
      </c>
      <c r="D2143" s="27">
        <v>0.7</v>
      </c>
      <c r="E2143" s="27">
        <v>0.6</v>
      </c>
      <c r="F2143" s="27"/>
      <c r="G2143" s="27"/>
      <c r="H2143" s="27"/>
      <c r="I2143" s="27"/>
      <c r="J2143" s="27"/>
      <c r="K2143" s="27"/>
    </row>
    <row r="2144" spans="1:16" ht="15.75" customHeight="1" x14ac:dyDescent="0.35">
      <c r="B2144" s="20"/>
      <c r="D2144" s="11"/>
      <c r="E2144" s="11"/>
      <c r="F2144" s="28"/>
      <c r="H2144" s="1"/>
    </row>
    <row r="2145" spans="1:16" ht="15.75" customHeight="1" x14ac:dyDescent="0.35">
      <c r="B2145" s="1" t="s">
        <v>262</v>
      </c>
      <c r="F2145" t="s">
        <v>263</v>
      </c>
      <c r="G2145" s="1"/>
      <c r="K2145" s="12"/>
      <c r="L2145" s="9"/>
      <c r="M2145" s="9"/>
    </row>
    <row r="2146" spans="1:16" ht="15.75" customHeight="1" x14ac:dyDescent="0.35">
      <c r="B2146" s="20" t="s">
        <v>264</v>
      </c>
      <c r="D2146" s="29"/>
      <c r="F2146" t="s">
        <v>265</v>
      </c>
      <c r="G2146" s="1"/>
      <c r="H2146" s="1"/>
      <c r="K2146" s="9" t="s">
        <v>266</v>
      </c>
      <c r="L2146" s="9"/>
      <c r="M2146" s="9"/>
    </row>
    <row r="2147" spans="1:16" ht="15.75" customHeight="1" x14ac:dyDescent="0.35">
      <c r="B2147" s="20" t="s">
        <v>267</v>
      </c>
      <c r="F2147" t="s">
        <v>268</v>
      </c>
      <c r="G2147" s="1"/>
      <c r="H2147" s="1"/>
      <c r="K2147" s="9" t="s">
        <v>254</v>
      </c>
      <c r="L2147" s="9"/>
      <c r="M2147" s="9"/>
    </row>
    <row r="2148" spans="1:16" ht="15.75" customHeight="1" x14ac:dyDescent="0.35">
      <c r="B2148" s="9"/>
      <c r="C2148" s="9"/>
      <c r="D2148" s="9"/>
      <c r="E2148" s="9"/>
      <c r="F2148" s="12"/>
      <c r="G2148" s="12"/>
      <c r="H2148" s="12"/>
      <c r="I2148" s="12"/>
      <c r="J2148" s="12"/>
      <c r="K2148" s="12"/>
      <c r="L2148" s="1"/>
    </row>
    <row r="2149" spans="1:16" ht="15.75" customHeight="1" x14ac:dyDescent="0.35">
      <c r="B2149" s="13"/>
      <c r="C2149" s="13"/>
      <c r="D2149" s="15"/>
      <c r="F2149" s="33" t="s">
        <v>305</v>
      </c>
      <c r="G2149" s="15"/>
      <c r="H2149" s="14" t="s">
        <v>255</v>
      </c>
      <c r="I2149" s="1"/>
      <c r="J2149" s="2"/>
      <c r="K2149" s="2"/>
      <c r="L2149" s="8"/>
    </row>
    <row r="2150" spans="1:16" x14ac:dyDescent="0.35">
      <c r="B2150" s="13" t="s">
        <v>5</v>
      </c>
      <c r="C2150" s="13" t="s">
        <v>1</v>
      </c>
      <c r="D2150" s="15" t="str">
        <f>VLOOKUP(A2151,Inventory!$A$4:$K$1139,7)</f>
        <v xml:space="preserve">Klatch                             </v>
      </c>
      <c r="F2150" s="13" t="s">
        <v>235</v>
      </c>
      <c r="G2150" s="16"/>
      <c r="L2150" s="8"/>
      <c r="M2150" s="17"/>
    </row>
    <row r="2151" spans="1:16" x14ac:dyDescent="0.35">
      <c r="A2151">
        <v>167</v>
      </c>
      <c r="B2151" s="5">
        <v>44576</v>
      </c>
      <c r="C2151" s="15" t="str">
        <f>VLOOKUP(A2151,Inventory!$A$4:$K$1139,2)</f>
        <v>Uganda Sipi Falls Organic 2020</v>
      </c>
      <c r="E2151" s="11"/>
      <c r="F2151" s="31" t="s">
        <v>291</v>
      </c>
      <c r="G2151" s="2" t="s">
        <v>286</v>
      </c>
      <c r="M2151" s="17"/>
      <c r="P2151" s="8"/>
    </row>
    <row r="2152" spans="1:16" x14ac:dyDescent="0.35">
      <c r="D2152" s="11"/>
      <c r="E2152" s="11"/>
      <c r="G2152" s="16"/>
      <c r="L2152" s="19"/>
      <c r="M2152" s="19"/>
    </row>
    <row r="2153" spans="1:16" x14ac:dyDescent="0.35">
      <c r="B2153" s="20"/>
      <c r="C2153" s="11" t="s">
        <v>240</v>
      </c>
      <c r="D2153" s="11" t="s">
        <v>241</v>
      </c>
      <c r="E2153" s="11">
        <v>365</v>
      </c>
      <c r="F2153" s="11">
        <v>372</v>
      </c>
      <c r="G2153" s="11">
        <v>379</v>
      </c>
      <c r="H2153" s="11">
        <v>386</v>
      </c>
      <c r="I2153" s="11">
        <v>395</v>
      </c>
      <c r="J2153" s="11"/>
      <c r="K2153" s="11"/>
      <c r="L2153" s="11"/>
    </row>
    <row r="2154" spans="1:16" ht="15.75" customHeight="1" x14ac:dyDescent="0.35">
      <c r="B2154" s="20" t="s">
        <v>242</v>
      </c>
      <c r="C2154" s="30"/>
      <c r="D2154" s="30"/>
      <c r="E2154" s="23" t="s">
        <v>244</v>
      </c>
      <c r="F2154" s="23" t="s">
        <v>245</v>
      </c>
      <c r="G2154" s="23" t="s">
        <v>246</v>
      </c>
      <c r="H2154" s="23" t="s">
        <v>247</v>
      </c>
      <c r="I2154" s="23" t="s">
        <v>259</v>
      </c>
      <c r="O2154" s="4"/>
    </row>
    <row r="2155" spans="1:16" ht="1" customHeight="1" x14ac:dyDescent="0.35">
      <c r="B2155" s="24" t="s">
        <v>249</v>
      </c>
      <c r="C2155" s="25"/>
      <c r="D2155" s="25"/>
      <c r="E2155" s="25"/>
      <c r="F2155" s="25"/>
      <c r="G2155" s="25"/>
      <c r="H2155" s="25"/>
      <c r="I2155" s="25"/>
      <c r="O2155" t="e">
        <f>(O2153-3*O2152)/O2154</f>
        <v>#DIV/0!</v>
      </c>
    </row>
    <row r="2156" spans="1:16" ht="15.75" customHeight="1" x14ac:dyDescent="0.35">
      <c r="B2156" s="20" t="s">
        <v>250</v>
      </c>
      <c r="C2156" s="26">
        <v>0.21180555555555555</v>
      </c>
      <c r="D2156" s="26">
        <v>0.29166666666666669</v>
      </c>
      <c r="E2156" s="26">
        <v>0.37847222222222227</v>
      </c>
      <c r="F2156" s="26">
        <f>E2156+'Lookup Tables'!$N$1</f>
        <v>0.39930555555555558</v>
      </c>
      <c r="G2156" s="26">
        <f>F2156+'Lookup Tables'!$N$1</f>
        <v>0.4201388888888889</v>
      </c>
      <c r="H2156" s="26">
        <f>G2156+'Lookup Tables'!$N$1</f>
        <v>0.44097222222222221</v>
      </c>
      <c r="I2156" s="26">
        <f>H2156+'Lookup Tables'!$N$1</f>
        <v>0.46180555555555552</v>
      </c>
      <c r="N2156">
        <f>MAX(F2153:M2153)-O2156</f>
        <v>30</v>
      </c>
      <c r="O2156" t="str">
        <f>RIGHT(E2153,3)</f>
        <v>365</v>
      </c>
    </row>
    <row r="2157" spans="1:16" ht="15.75" customHeight="1" x14ac:dyDescent="0.35">
      <c r="B2157" s="20" t="s">
        <v>251</v>
      </c>
      <c r="C2157" s="27">
        <v>0.2</v>
      </c>
      <c r="D2157" s="27">
        <v>0.5</v>
      </c>
      <c r="E2157" s="27"/>
      <c r="F2157" s="27"/>
      <c r="G2157" s="27" t="s">
        <v>274</v>
      </c>
      <c r="H2157" s="25"/>
      <c r="I2157" s="27"/>
      <c r="N2157" t="str">
        <f xml:space="preserve">  N2156 &amp; " degrees this time"</f>
        <v>30 degrees this time</v>
      </c>
    </row>
    <row r="2158" spans="1:16" ht="15.75" customHeight="1" x14ac:dyDescent="0.35">
      <c r="B2158" s="20" t="s">
        <v>252</v>
      </c>
      <c r="C2158" s="27">
        <v>0.9</v>
      </c>
      <c r="D2158" s="27">
        <v>0.8</v>
      </c>
      <c r="E2158" s="27">
        <v>0.6</v>
      </c>
      <c r="F2158" s="27">
        <v>0.4</v>
      </c>
      <c r="G2158" s="27" t="s">
        <v>274</v>
      </c>
      <c r="H2158" s="27"/>
      <c r="I2158" s="27" t="s">
        <v>275</v>
      </c>
    </row>
    <row r="2159" spans="1:16" ht="15.75" customHeight="1" x14ac:dyDescent="0.35">
      <c r="B2159" s="20"/>
      <c r="D2159" s="11"/>
      <c r="E2159" s="11"/>
      <c r="F2159" s="11"/>
      <c r="H2159" s="35"/>
    </row>
    <row r="2160" spans="1:16" ht="15.75" customHeight="1" x14ac:dyDescent="0.35">
      <c r="B2160" s="20"/>
      <c r="G2160" s="1" t="s">
        <v>304</v>
      </c>
      <c r="K2160" s="32"/>
      <c r="L2160" s="9"/>
      <c r="M2160" s="9"/>
    </row>
    <row r="2161" spans="1:16" ht="15.75" customHeight="1" x14ac:dyDescent="0.35">
      <c r="B2161" s="20"/>
      <c r="G2161" s="1"/>
      <c r="H2161" s="1"/>
      <c r="K2161" s="32"/>
      <c r="L2161" s="9"/>
      <c r="M2161" s="9"/>
    </row>
    <row r="2162" spans="1:16" ht="15.75" customHeight="1" x14ac:dyDescent="0.35">
      <c r="B2162" s="20"/>
      <c r="G2162" s="1"/>
      <c r="H2162" s="1"/>
      <c r="K2162" s="9" t="s">
        <v>300</v>
      </c>
      <c r="L2162" s="9"/>
      <c r="M2162" s="9"/>
    </row>
    <row r="2163" spans="1:16" ht="15.75" customHeight="1" x14ac:dyDescent="0.35">
      <c r="B2163" s="9"/>
      <c r="C2163" s="9"/>
      <c r="D2163" s="9"/>
      <c r="E2163" s="9"/>
      <c r="F2163" s="12"/>
      <c r="G2163" s="12"/>
      <c r="H2163" s="12"/>
      <c r="I2163" s="12"/>
      <c r="J2163" s="12"/>
      <c r="K2163" s="12"/>
      <c r="L2163" s="1"/>
    </row>
    <row r="2164" spans="1:16" ht="15.75" customHeight="1" x14ac:dyDescent="0.35">
      <c r="B2164" s="13"/>
      <c r="C2164" s="13"/>
      <c r="D2164" s="13"/>
      <c r="E2164" s="13"/>
      <c r="F2164" s="13"/>
      <c r="G2164" s="13"/>
      <c r="I2164" s="13"/>
    </row>
    <row r="2165" spans="1:16" x14ac:dyDescent="0.35">
      <c r="B2165" s="13" t="s">
        <v>5</v>
      </c>
      <c r="C2165" s="13" t="s">
        <v>1</v>
      </c>
      <c r="D2165" s="15" t="str">
        <f>VLOOKUP(A2166,Inventory!$A$4:$K$1139,7)</f>
        <v xml:space="preserve">Klatch                             </v>
      </c>
      <c r="F2165" s="13" t="s">
        <v>235</v>
      </c>
      <c r="G2165" s="16"/>
      <c r="L2165" s="17"/>
      <c r="M2165" s="17"/>
    </row>
    <row r="2166" spans="1:16" x14ac:dyDescent="0.35">
      <c r="A2166">
        <v>161</v>
      </c>
      <c r="B2166" s="5">
        <v>44576</v>
      </c>
      <c r="C2166" s="15" t="str">
        <f>VLOOKUP(A2166,Inventory!$A$4:$K$1139,2)</f>
        <v>Colombia Nariño Organic 2020</v>
      </c>
      <c r="E2166" s="11"/>
      <c r="F2166" s="34" t="s">
        <v>279</v>
      </c>
      <c r="G2166" s="2" t="s">
        <v>286</v>
      </c>
      <c r="L2166" s="17"/>
      <c r="M2166" s="17"/>
      <c r="P2166" s="8"/>
    </row>
    <row r="2167" spans="1:16" x14ac:dyDescent="0.35">
      <c r="D2167" s="11"/>
      <c r="E2167" s="11"/>
      <c r="G2167" s="16"/>
      <c r="L2167" s="19"/>
      <c r="M2167" s="19"/>
    </row>
    <row r="2168" spans="1:16" x14ac:dyDescent="0.35">
      <c r="B2168" s="20"/>
      <c r="C2168" s="11" t="s">
        <v>240</v>
      </c>
      <c r="D2168" s="11" t="s">
        <v>272</v>
      </c>
      <c r="E2168" s="11">
        <v>366</v>
      </c>
      <c r="F2168" s="11">
        <v>375</v>
      </c>
      <c r="G2168" s="11">
        <v>381</v>
      </c>
      <c r="H2168" s="11">
        <v>388</v>
      </c>
      <c r="I2168" s="11">
        <v>394</v>
      </c>
      <c r="J2168" s="11"/>
      <c r="K2168" s="11"/>
      <c r="L2168" s="11"/>
    </row>
    <row r="2169" spans="1:16" ht="15.75" customHeight="1" x14ac:dyDescent="0.35">
      <c r="B2169" s="20" t="s">
        <v>242</v>
      </c>
      <c r="C2169" s="21"/>
      <c r="D2169" s="22" t="s">
        <v>294</v>
      </c>
      <c r="E2169" s="23" t="s">
        <v>244</v>
      </c>
      <c r="F2169" s="23" t="s">
        <v>245</v>
      </c>
      <c r="G2169" s="23" t="s">
        <v>246</v>
      </c>
      <c r="H2169" s="23" t="s">
        <v>247</v>
      </c>
      <c r="I2169" s="23" t="s">
        <v>248</v>
      </c>
      <c r="O2169" s="4"/>
    </row>
    <row r="2170" spans="1:16" ht="1" customHeight="1" x14ac:dyDescent="0.35">
      <c r="B2170" s="24" t="s">
        <v>249</v>
      </c>
      <c r="C2170" s="25"/>
      <c r="D2170" s="25"/>
      <c r="E2170" s="25"/>
      <c r="F2170" s="25"/>
      <c r="G2170" s="25"/>
      <c r="H2170" s="25"/>
      <c r="I2170" s="25"/>
      <c r="O2170" t="e">
        <f>(O2168-3*O2167)/O2169</f>
        <v>#DIV/0!</v>
      </c>
    </row>
    <row r="2171" spans="1:16" ht="15.75" customHeight="1" x14ac:dyDescent="0.35">
      <c r="B2171" s="20" t="s">
        <v>250</v>
      </c>
      <c r="C2171" s="26">
        <v>0.21875</v>
      </c>
      <c r="D2171" s="26">
        <v>0.30208333333333331</v>
      </c>
      <c r="E2171" s="26">
        <v>0.375</v>
      </c>
      <c r="F2171" s="26">
        <f>E2171+'Lookup Tables'!$N$1</f>
        <v>0.39583333333333331</v>
      </c>
      <c r="G2171" s="26">
        <f>F2171+'Lookup Tables'!$N$1</f>
        <v>0.41666666666666663</v>
      </c>
      <c r="H2171" s="26">
        <f>G2171+'Lookup Tables'!$N$1</f>
        <v>0.43749999999999994</v>
      </c>
      <c r="I2171" s="26">
        <f>H2171+'Lookup Tables'!$S$1</f>
        <v>0.44791666666666663</v>
      </c>
      <c r="N2171">
        <f>MAX(F2168:M2168)-O2171</f>
        <v>28</v>
      </c>
      <c r="O2171" t="str">
        <f>RIGHT(E2168,3)</f>
        <v>366</v>
      </c>
    </row>
    <row r="2172" spans="1:16" ht="15.75" customHeight="1" x14ac:dyDescent="0.35">
      <c r="B2172" s="20" t="s">
        <v>251</v>
      </c>
      <c r="C2172" s="27">
        <v>0.2</v>
      </c>
      <c r="D2172" s="27">
        <v>0.5</v>
      </c>
      <c r="E2172" s="27"/>
      <c r="F2172" s="27"/>
      <c r="G2172" s="27"/>
      <c r="H2172" s="27"/>
      <c r="I2172" s="25"/>
      <c r="N2172" t="str">
        <f xml:space="preserve">  N2171 &amp; " degrees this time"</f>
        <v>28 degrees this time</v>
      </c>
    </row>
    <row r="2173" spans="1:16" ht="15.75" customHeight="1" x14ac:dyDescent="0.35">
      <c r="B2173" s="20" t="s">
        <v>252</v>
      </c>
      <c r="C2173" s="27">
        <v>0.9</v>
      </c>
      <c r="D2173" s="27">
        <v>0.8</v>
      </c>
      <c r="E2173" s="27">
        <v>0.7</v>
      </c>
      <c r="F2173" s="27"/>
      <c r="G2173" s="27"/>
      <c r="H2173" s="27"/>
      <c r="I2173" s="27" t="s">
        <v>275</v>
      </c>
    </row>
    <row r="2174" spans="1:16" ht="15.75" customHeight="1" x14ac:dyDescent="0.35">
      <c r="B2174" s="20"/>
      <c r="D2174" s="11"/>
      <c r="E2174" s="11"/>
      <c r="F2174" s="11"/>
      <c r="G2174" s="11"/>
      <c r="H2174" s="35"/>
    </row>
    <row r="2175" spans="1:16" ht="15.75" customHeight="1" x14ac:dyDescent="0.35">
      <c r="B2175" s="20"/>
      <c r="G2175" s="1" t="s">
        <v>331</v>
      </c>
      <c r="K2175" s="32" t="s">
        <v>332</v>
      </c>
      <c r="L2175" s="9"/>
      <c r="M2175" s="9"/>
    </row>
    <row r="2176" spans="1:16" ht="15.75" customHeight="1" x14ac:dyDescent="0.35">
      <c r="B2176" s="30"/>
      <c r="G2176" s="1"/>
      <c r="H2176" s="1"/>
      <c r="K2176" s="9"/>
      <c r="L2176" s="9"/>
      <c r="M2176" s="9"/>
    </row>
    <row r="2177" spans="1:16" ht="15.75" customHeight="1" x14ac:dyDescent="0.35">
      <c r="B2177" s="30"/>
      <c r="G2177" s="1"/>
      <c r="H2177" s="1"/>
      <c r="K2177" s="9" t="s">
        <v>300</v>
      </c>
      <c r="L2177" s="9"/>
      <c r="M2177" s="9"/>
    </row>
    <row r="2178" spans="1:16" ht="15.75" customHeight="1" x14ac:dyDescent="0.35">
      <c r="B2178" s="9"/>
      <c r="C2178" s="9"/>
      <c r="D2178" s="9"/>
      <c r="E2178" s="9"/>
      <c r="F2178" s="12"/>
      <c r="G2178" s="12"/>
      <c r="H2178" s="12"/>
      <c r="I2178" s="12"/>
      <c r="J2178" s="12"/>
      <c r="K2178" s="12"/>
      <c r="L2178" s="1"/>
    </row>
    <row r="2179" spans="1:16" ht="15.75" customHeight="1" x14ac:dyDescent="0.35">
      <c r="B2179" s="13"/>
      <c r="C2179" s="13"/>
      <c r="D2179" s="15"/>
      <c r="G2179" s="13"/>
      <c r="H2179" s="14" t="s">
        <v>255</v>
      </c>
      <c r="I2179" s="13"/>
      <c r="J2179" s="1"/>
    </row>
    <row r="2180" spans="1:16" x14ac:dyDescent="0.35">
      <c r="B2180" s="13" t="s">
        <v>5</v>
      </c>
      <c r="C2180" s="13" t="s">
        <v>1</v>
      </c>
      <c r="D2180" s="15" t="str">
        <f>VLOOKUP(A2181,Inventory!$A$4:$K$1139,7)</f>
        <v xml:space="preserve">Klatch                             </v>
      </c>
      <c r="F2180" s="13" t="s">
        <v>235</v>
      </c>
      <c r="G2180" s="16"/>
      <c r="L2180" s="17"/>
      <c r="M2180" s="17"/>
    </row>
    <row r="2181" spans="1:16" x14ac:dyDescent="0.35">
      <c r="A2181">
        <v>163</v>
      </c>
      <c r="B2181" s="5">
        <v>44576</v>
      </c>
      <c r="C2181" s="15" t="str">
        <f>VLOOKUP(A2181,Inventory!$A$4:$K$1139,2)</f>
        <v>Guatemala Antigua Hunapu Micro Lot 2020</v>
      </c>
      <c r="E2181" s="11"/>
      <c r="F2181" s="31" t="s">
        <v>291</v>
      </c>
      <c r="G2181" s="2" t="s">
        <v>286</v>
      </c>
      <c r="L2181" s="17"/>
      <c r="M2181" s="17"/>
      <c r="P2181" s="8"/>
    </row>
    <row r="2182" spans="1:16" x14ac:dyDescent="0.35">
      <c r="B2182" s="13"/>
      <c r="C2182" s="13"/>
      <c r="D2182" s="11"/>
      <c r="F2182" s="13"/>
      <c r="G2182" s="16"/>
      <c r="I2182" s="1"/>
      <c r="L2182" s="19"/>
      <c r="M2182" s="19"/>
    </row>
    <row r="2183" spans="1:16" x14ac:dyDescent="0.35">
      <c r="B2183" s="20"/>
      <c r="C2183" s="11" t="s">
        <v>240</v>
      </c>
      <c r="D2183" s="11" t="s">
        <v>241</v>
      </c>
      <c r="E2183" s="11">
        <v>355</v>
      </c>
      <c r="F2183" s="11">
        <v>362</v>
      </c>
      <c r="G2183" s="11">
        <v>368</v>
      </c>
      <c r="H2183" s="11">
        <v>375</v>
      </c>
      <c r="I2183" s="11">
        <v>379</v>
      </c>
      <c r="J2183" s="11"/>
      <c r="K2183" s="11"/>
      <c r="L2183" s="11"/>
    </row>
    <row r="2184" spans="1:16" ht="15.75" customHeight="1" x14ac:dyDescent="0.35">
      <c r="B2184" s="20" t="s">
        <v>242</v>
      </c>
      <c r="C2184" s="30"/>
      <c r="D2184" s="30"/>
      <c r="E2184" s="23" t="s">
        <v>244</v>
      </c>
      <c r="F2184" s="23" t="s">
        <v>245</v>
      </c>
      <c r="G2184" s="23" t="s">
        <v>246</v>
      </c>
      <c r="H2184" s="23" t="s">
        <v>247</v>
      </c>
      <c r="I2184" s="23" t="s">
        <v>248</v>
      </c>
      <c r="O2184" s="4"/>
    </row>
    <row r="2185" spans="1:16" ht="1" customHeight="1" x14ac:dyDescent="0.35">
      <c r="B2185" s="24" t="s">
        <v>249</v>
      </c>
      <c r="C2185" s="25"/>
      <c r="D2185" s="25"/>
      <c r="E2185" s="25"/>
      <c r="F2185" s="25"/>
      <c r="G2185" s="25"/>
      <c r="H2185" s="25"/>
      <c r="I2185" s="25"/>
      <c r="O2185" t="e">
        <f>(O2183-3*O2182)/O2184</f>
        <v>#DIV/0!</v>
      </c>
    </row>
    <row r="2186" spans="1:16" ht="15.75" customHeight="1" x14ac:dyDescent="0.35">
      <c r="B2186" s="20" t="s">
        <v>250</v>
      </c>
      <c r="C2186" s="26">
        <v>0.19444444444444445</v>
      </c>
      <c r="D2186" s="26">
        <v>0.2673611111111111</v>
      </c>
      <c r="E2186" s="26">
        <v>0.3298611111111111</v>
      </c>
      <c r="F2186" s="26">
        <f>E2186+'Lookup Tables'!$N$1</f>
        <v>0.35069444444444442</v>
      </c>
      <c r="G2186" s="26">
        <f>F2186+'Lookup Tables'!$N$1</f>
        <v>0.37152777777777773</v>
      </c>
      <c r="H2186" s="26">
        <f>G2186+'Lookup Tables'!$N$1</f>
        <v>0.39236111111111105</v>
      </c>
      <c r="I2186" s="26">
        <f>H2186+'Lookup Tables'!$S$1</f>
        <v>0.40277777777777773</v>
      </c>
      <c r="N2186">
        <f>MAX(F2183:M2183)-O2186</f>
        <v>24</v>
      </c>
      <c r="O2186" t="str">
        <f>RIGHT(E2183,3)</f>
        <v>355</v>
      </c>
    </row>
    <row r="2187" spans="1:16" ht="15.75" customHeight="1" x14ac:dyDescent="0.35">
      <c r="B2187" s="20" t="s">
        <v>251</v>
      </c>
      <c r="C2187" s="27">
        <v>0.2</v>
      </c>
      <c r="D2187" s="27">
        <v>0.5</v>
      </c>
      <c r="E2187" s="27"/>
      <c r="F2187" s="27"/>
      <c r="G2187" s="27"/>
      <c r="H2187" s="27"/>
      <c r="I2187" s="25"/>
      <c r="N2187" t="str">
        <f xml:space="preserve">  N2186 &amp; " degrees this time"</f>
        <v>24 degrees this time</v>
      </c>
    </row>
    <row r="2188" spans="1:16" ht="15.75" customHeight="1" x14ac:dyDescent="0.35">
      <c r="B2188" s="20" t="s">
        <v>252</v>
      </c>
      <c r="C2188" s="27">
        <v>0.9</v>
      </c>
      <c r="D2188" s="27">
        <v>0.8</v>
      </c>
      <c r="E2188" s="27"/>
      <c r="F2188" s="27"/>
      <c r="G2188" s="27">
        <v>0.6</v>
      </c>
      <c r="H2188" s="27">
        <v>0.4</v>
      </c>
      <c r="I2188" s="27" t="s">
        <v>275</v>
      </c>
    </row>
    <row r="2189" spans="1:16" ht="15.75" customHeight="1" x14ac:dyDescent="0.35">
      <c r="B2189" s="20"/>
      <c r="D2189" s="37"/>
      <c r="E2189" s="11"/>
      <c r="F2189" s="11"/>
      <c r="G2189" s="40"/>
      <c r="H2189" s="11"/>
      <c r="I2189" s="11"/>
      <c r="J2189" s="37"/>
      <c r="K2189" s="32" t="s">
        <v>422</v>
      </c>
      <c r="L2189" s="9"/>
      <c r="M2189" s="9"/>
    </row>
    <row r="2190" spans="1:16" ht="15.75" customHeight="1" x14ac:dyDescent="0.35">
      <c r="B2190" s="38"/>
      <c r="G2190" s="1" t="s">
        <v>307</v>
      </c>
      <c r="H2190" s="1"/>
      <c r="K2190" s="32"/>
      <c r="L2190" s="9"/>
      <c r="M2190" s="9"/>
    </row>
    <row r="2191" spans="1:16" ht="15.75" customHeight="1" x14ac:dyDescent="0.35">
      <c r="B2191" s="20"/>
      <c r="G2191" s="1"/>
      <c r="H2191" s="1"/>
      <c r="K2191" s="32" t="s">
        <v>309</v>
      </c>
      <c r="L2191" s="9"/>
      <c r="M2191" s="9"/>
    </row>
    <row r="2192" spans="1:16" ht="15.75" customHeight="1" x14ac:dyDescent="0.35">
      <c r="B2192" s="20"/>
      <c r="G2192" s="1"/>
      <c r="H2192" s="1"/>
      <c r="K2192" s="9" t="s">
        <v>300</v>
      </c>
      <c r="L2192" s="9"/>
      <c r="M2192" s="9"/>
    </row>
    <row r="2193" spans="1:16" ht="15.75" customHeight="1" x14ac:dyDescent="0.35">
      <c r="B2193" s="9"/>
      <c r="C2193" s="9"/>
      <c r="D2193" s="9"/>
      <c r="E2193" s="9"/>
      <c r="F2193" s="12"/>
      <c r="G2193" s="12"/>
      <c r="H2193" s="12"/>
      <c r="I2193" s="12"/>
      <c r="J2193" s="12"/>
      <c r="K2193" s="12"/>
      <c r="L2193" s="1"/>
    </row>
    <row r="2194" spans="1:16" ht="15.75" customHeight="1" x14ac:dyDescent="0.35">
      <c r="B2194" s="13"/>
      <c r="C2194" s="13"/>
      <c r="D2194" s="15"/>
      <c r="F2194" s="33" t="s">
        <v>298</v>
      </c>
    </row>
    <row r="2195" spans="1:16" x14ac:dyDescent="0.35">
      <c r="B2195" s="13" t="s">
        <v>5</v>
      </c>
      <c r="C2195" s="13" t="s">
        <v>1</v>
      </c>
      <c r="D2195" s="15" t="str">
        <f>VLOOKUP(A2196,Inventory!$A$4:$K$1139,7)</f>
        <v xml:space="preserve">GCBC                               </v>
      </c>
      <c r="F2195" s="13" t="s">
        <v>235</v>
      </c>
      <c r="G2195" s="16"/>
      <c r="L2195" s="17"/>
      <c r="M2195" s="17"/>
    </row>
    <row r="2196" spans="1:16" x14ac:dyDescent="0.35">
      <c r="A2196">
        <v>160</v>
      </c>
      <c r="B2196" s="5">
        <v>44576</v>
      </c>
      <c r="C2196" s="15" t="str">
        <f>VLOOKUP(A2196,Inventory!$A$4:$K$1139,2)</f>
        <v>Sumatra Mandheling Takengon 2020</v>
      </c>
      <c r="E2196" s="11"/>
      <c r="F2196" s="34" t="s">
        <v>279</v>
      </c>
      <c r="G2196" s="2" t="s">
        <v>270</v>
      </c>
      <c r="J2196" s="8"/>
      <c r="L2196" s="17"/>
      <c r="M2196" s="17"/>
      <c r="P2196" s="8"/>
    </row>
    <row r="2197" spans="1:16" x14ac:dyDescent="0.35">
      <c r="B2197" s="13"/>
      <c r="C2197" s="13"/>
      <c r="D2197" s="11"/>
      <c r="F2197" s="13"/>
      <c r="G2197" s="16"/>
      <c r="K2197" s="1"/>
      <c r="L2197" s="19"/>
      <c r="M2197" s="19"/>
    </row>
    <row r="2198" spans="1:16" x14ac:dyDescent="0.35">
      <c r="B2198" s="20"/>
      <c r="C2198" s="11" t="s">
        <v>240</v>
      </c>
      <c r="D2198" s="11" t="s">
        <v>301</v>
      </c>
      <c r="E2198" s="11">
        <v>373</v>
      </c>
      <c r="F2198" s="11">
        <v>380</v>
      </c>
      <c r="G2198" s="11">
        <v>387</v>
      </c>
      <c r="H2198" s="11">
        <v>394</v>
      </c>
      <c r="I2198" s="11">
        <v>397</v>
      </c>
      <c r="J2198" s="11"/>
      <c r="K2198" s="11"/>
      <c r="L2198" s="11"/>
    </row>
    <row r="2199" spans="1:16" ht="15.75" customHeight="1" x14ac:dyDescent="0.35">
      <c r="B2199" s="20" t="s">
        <v>242</v>
      </c>
      <c r="C2199" s="21"/>
      <c r="D2199" s="22" t="s">
        <v>302</v>
      </c>
      <c r="E2199" s="23" t="s">
        <v>244</v>
      </c>
      <c r="F2199" s="23" t="s">
        <v>245</v>
      </c>
      <c r="G2199" s="23" t="s">
        <v>246</v>
      </c>
      <c r="H2199" s="23" t="s">
        <v>247</v>
      </c>
      <c r="I2199" s="23" t="s">
        <v>248</v>
      </c>
      <c r="O2199" s="4"/>
    </row>
    <row r="2200" spans="1:16" ht="1" customHeight="1" x14ac:dyDescent="0.35">
      <c r="B2200" s="24" t="s">
        <v>249</v>
      </c>
      <c r="C2200" s="25"/>
      <c r="D2200" s="25"/>
      <c r="E2200" s="25"/>
      <c r="F2200" s="25"/>
      <c r="G2200" s="25"/>
      <c r="H2200" s="25"/>
      <c r="I2200" s="25"/>
      <c r="O2200" t="e">
        <f>(O2198-3*O2197)/O2199</f>
        <v>#DIV/0!</v>
      </c>
    </row>
    <row r="2201" spans="1:16" ht="15.75" customHeight="1" x14ac:dyDescent="0.35">
      <c r="B2201" s="20" t="s">
        <v>250</v>
      </c>
      <c r="C2201" s="26">
        <v>0.24652777777777779</v>
      </c>
      <c r="D2201" s="26">
        <v>0.34375</v>
      </c>
      <c r="E2201" s="26">
        <v>0.43402777777777773</v>
      </c>
      <c r="F2201" s="26">
        <f>E2201+'Lookup Tables'!$N$1</f>
        <v>0.45486111111111105</v>
      </c>
      <c r="G2201" s="26">
        <f>F2201+'Lookup Tables'!$N$1</f>
        <v>0.47569444444444436</v>
      </c>
      <c r="H2201" s="26">
        <f>G2201+'Lookup Tables'!$N$1</f>
        <v>0.49652777777777768</v>
      </c>
      <c r="I2201" s="26">
        <f>H2201+'Lookup Tables'!$N$1</f>
        <v>0.51736111111111105</v>
      </c>
      <c r="N2201">
        <f>MAX(F2198:M2198)-O2201</f>
        <v>24</v>
      </c>
      <c r="O2201" t="str">
        <f>RIGHT(E2198,3)</f>
        <v>373</v>
      </c>
    </row>
    <row r="2202" spans="1:16" ht="15.75" customHeight="1" x14ac:dyDescent="0.35">
      <c r="B2202" s="20" t="s">
        <v>251</v>
      </c>
      <c r="C2202" s="27">
        <v>0.2</v>
      </c>
      <c r="D2202" s="27">
        <v>0.5</v>
      </c>
      <c r="E2202" s="27"/>
      <c r="F2202" s="27"/>
      <c r="G2202" s="27"/>
      <c r="H2202" s="27"/>
      <c r="I2202" s="27"/>
      <c r="N2202" t="str">
        <f xml:space="preserve">  N2201 &amp; " degrees this time"</f>
        <v>24 degrees this time</v>
      </c>
    </row>
    <row r="2203" spans="1:16" ht="15.75" customHeight="1" x14ac:dyDescent="0.35">
      <c r="B2203" s="20" t="s">
        <v>252</v>
      </c>
      <c r="C2203" s="27">
        <v>0.9</v>
      </c>
      <c r="D2203" s="27">
        <v>0.7</v>
      </c>
      <c r="E2203" s="27">
        <v>0.4</v>
      </c>
      <c r="F2203" s="27" t="s">
        <v>274</v>
      </c>
      <c r="G2203" s="27"/>
      <c r="H2203" s="27"/>
      <c r="I2203" s="27"/>
    </row>
    <row r="2204" spans="1:16" ht="15.75" customHeight="1" x14ac:dyDescent="0.35">
      <c r="B2204" s="20"/>
      <c r="D2204" s="11"/>
      <c r="E2204" s="11"/>
      <c r="F2204" s="11"/>
      <c r="G2204" s="11"/>
      <c r="H2204" s="11"/>
      <c r="I2204" s="11"/>
      <c r="J2204" s="37"/>
      <c r="K2204" s="37"/>
      <c r="L2204" s="35"/>
    </row>
    <row r="2205" spans="1:16" ht="15.75" customHeight="1" x14ac:dyDescent="0.35">
      <c r="B2205" s="38"/>
      <c r="E2205" s="11"/>
      <c r="G2205" s="1" t="s">
        <v>303</v>
      </c>
      <c r="H2205" s="1"/>
      <c r="K2205" s="32" t="s">
        <v>423</v>
      </c>
      <c r="L2205" s="9"/>
      <c r="M2205" s="9"/>
    </row>
    <row r="2206" spans="1:16" ht="15.75" customHeight="1" x14ac:dyDescent="0.35">
      <c r="B2206" s="20"/>
      <c r="G2206" s="1"/>
      <c r="H2206" s="1"/>
      <c r="K2206" s="32"/>
      <c r="L2206" s="9"/>
      <c r="M2206" s="9"/>
    </row>
    <row r="2207" spans="1:16" ht="15.75" customHeight="1" x14ac:dyDescent="0.35">
      <c r="B2207" s="20"/>
      <c r="G2207" s="1"/>
      <c r="H2207" s="1"/>
      <c r="K2207" s="9" t="s">
        <v>300</v>
      </c>
      <c r="L2207" s="9"/>
      <c r="M2207" s="9"/>
    </row>
    <row r="2208" spans="1:16" ht="15.75" customHeight="1" x14ac:dyDescent="0.35">
      <c r="B2208" s="9"/>
      <c r="C2208" s="9"/>
      <c r="D2208" s="9"/>
      <c r="E2208" s="9"/>
      <c r="F2208" s="12"/>
      <c r="G2208" s="12"/>
      <c r="H2208" s="12"/>
      <c r="I2208" s="12"/>
      <c r="J2208" s="12"/>
      <c r="K2208" s="12"/>
      <c r="L2208" s="1"/>
    </row>
    <row r="2209" spans="1:16" ht="15.75" customHeight="1" x14ac:dyDescent="0.35">
      <c r="B2209" s="13"/>
      <c r="C2209" s="13"/>
      <c r="D2209" s="13"/>
      <c r="E2209" s="13"/>
      <c r="F2209" s="13"/>
      <c r="G2209" s="13"/>
      <c r="H2209" s="13"/>
      <c r="I2209" s="13"/>
    </row>
    <row r="2210" spans="1:16" x14ac:dyDescent="0.35">
      <c r="B2210" s="13" t="s">
        <v>5</v>
      </c>
      <c r="C2210" s="13" t="s">
        <v>1</v>
      </c>
      <c r="D2210" s="15" t="str">
        <f>VLOOKUP(A2211,Inventory!$A$4:$K$1139,7)</f>
        <v>Coffee Bean corral</v>
      </c>
      <c r="F2210" s="13" t="s">
        <v>235</v>
      </c>
      <c r="G2210" s="16"/>
      <c r="L2210" s="17"/>
      <c r="M2210" s="17"/>
    </row>
    <row r="2211" spans="1:16" x14ac:dyDescent="0.35">
      <c r="A2211">
        <v>152</v>
      </c>
      <c r="B2211" s="5">
        <v>44564</v>
      </c>
      <c r="C2211" s="15" t="str">
        <f>VLOOKUP(A2211,Inventory!$A$4:$K$1139,2)</f>
        <v>Nicaragua Organic Jinotega Finca La Isabelia 2018</v>
      </c>
      <c r="E2211" s="11"/>
      <c r="F2211" s="34" t="s">
        <v>279</v>
      </c>
      <c r="G2211" s="2" t="s">
        <v>286</v>
      </c>
      <c r="L2211" s="17"/>
      <c r="M2211" s="17"/>
      <c r="P2211" s="8"/>
    </row>
    <row r="2212" spans="1:16" x14ac:dyDescent="0.35">
      <c r="D2212" s="11"/>
      <c r="E2212" s="11"/>
      <c r="G2212" s="16"/>
      <c r="L2212" s="19"/>
      <c r="M2212" s="19"/>
    </row>
    <row r="2213" spans="1:16" x14ac:dyDescent="0.35">
      <c r="B2213" s="20"/>
      <c r="C2213" s="11" t="s">
        <v>240</v>
      </c>
      <c r="D2213" s="11" t="s">
        <v>395</v>
      </c>
      <c r="E2213" s="11">
        <v>371</v>
      </c>
      <c r="F2213" s="11">
        <v>378</v>
      </c>
      <c r="G2213" s="11">
        <v>385</v>
      </c>
      <c r="H2213" s="11">
        <v>392</v>
      </c>
      <c r="I2213" s="11"/>
      <c r="J2213" s="11"/>
      <c r="K2213" s="28"/>
      <c r="L2213" s="28"/>
    </row>
    <row r="2214" spans="1:16" ht="15.75" customHeight="1" x14ac:dyDescent="0.35">
      <c r="B2214" s="20" t="s">
        <v>242</v>
      </c>
      <c r="C2214" s="21"/>
      <c r="D2214" s="22" t="s">
        <v>294</v>
      </c>
      <c r="E2214" s="23" t="s">
        <v>244</v>
      </c>
      <c r="F2214" s="23" t="s">
        <v>245</v>
      </c>
      <c r="G2214" s="23" t="s">
        <v>246</v>
      </c>
      <c r="H2214" s="23" t="s">
        <v>247</v>
      </c>
      <c r="O2214" s="4"/>
    </row>
    <row r="2215" spans="1:16" ht="1" customHeight="1" x14ac:dyDescent="0.35">
      <c r="B2215" s="24" t="s">
        <v>249</v>
      </c>
      <c r="C2215" s="25"/>
      <c r="D2215" s="25"/>
      <c r="E2215" s="25"/>
      <c r="F2215" s="25"/>
      <c r="G2215" s="25"/>
      <c r="H2215" s="25"/>
      <c r="O2215" t="e">
        <f>(O2213-3*O2212)/O2214</f>
        <v>#DIV/0!</v>
      </c>
    </row>
    <row r="2216" spans="1:16" ht="15.75" customHeight="1" x14ac:dyDescent="0.35">
      <c r="B2216" s="20" t="s">
        <v>250</v>
      </c>
      <c r="C2216" s="26">
        <v>0.22222222222222221</v>
      </c>
      <c r="D2216" s="26">
        <v>0.28819444444444448</v>
      </c>
      <c r="E2216" s="26">
        <v>0.39583333333333331</v>
      </c>
      <c r="F2216" s="26">
        <f>E2216+'Lookup Tables'!$N$1</f>
        <v>0.41666666666666663</v>
      </c>
      <c r="G2216" s="26">
        <f>F2216+'Lookup Tables'!$N$1</f>
        <v>0.43749999999999994</v>
      </c>
      <c r="H2216" s="26">
        <f>G2216+'Lookup Tables'!$N$1</f>
        <v>0.45833333333333326</v>
      </c>
      <c r="I2216" s="11"/>
      <c r="J2216" s="11"/>
      <c r="K2216" s="11"/>
      <c r="N2216">
        <f>MAX(F2213:M2213)-O2216</f>
        <v>21</v>
      </c>
      <c r="O2216" t="str">
        <f>RIGHT(E2213,3)</f>
        <v>371</v>
      </c>
    </row>
    <row r="2217" spans="1:16" ht="15.75" customHeight="1" x14ac:dyDescent="0.35">
      <c r="B2217" s="20" t="s">
        <v>251</v>
      </c>
      <c r="C2217" s="27">
        <v>0.2</v>
      </c>
      <c r="D2217" s="27">
        <v>0.5</v>
      </c>
      <c r="E2217" s="27"/>
      <c r="F2217" s="27"/>
      <c r="G2217" s="27" t="s">
        <v>274</v>
      </c>
      <c r="H2217" s="27"/>
      <c r="N2217" t="str">
        <f xml:space="preserve">  N2216 &amp; " degrees this time"</f>
        <v>21 degrees this time</v>
      </c>
    </row>
    <row r="2218" spans="1:16" ht="15.75" customHeight="1" x14ac:dyDescent="0.35">
      <c r="B2218" s="20" t="s">
        <v>252</v>
      </c>
      <c r="C2218" s="27">
        <v>0.9</v>
      </c>
      <c r="D2218" s="27">
        <v>0.7</v>
      </c>
      <c r="E2218" s="27">
        <v>0.6</v>
      </c>
      <c r="F2218" s="27"/>
      <c r="G2218" s="27"/>
      <c r="H2218" s="27" t="s">
        <v>275</v>
      </c>
    </row>
    <row r="2219" spans="1:16" ht="15.75" customHeight="1" x14ac:dyDescent="0.35">
      <c r="B2219" s="20"/>
      <c r="D2219" s="11"/>
      <c r="E2219" s="11"/>
      <c r="F2219" s="11"/>
      <c r="H2219" s="55"/>
    </row>
    <row r="2220" spans="1:16" ht="15.75" customHeight="1" x14ac:dyDescent="0.35">
      <c r="B2220" s="20"/>
      <c r="G2220" s="1" t="s">
        <v>396</v>
      </c>
      <c r="K2220" s="32" t="s">
        <v>345</v>
      </c>
      <c r="L2220" s="9"/>
      <c r="M2220" s="9"/>
    </row>
    <row r="2221" spans="1:16" ht="15.75" customHeight="1" x14ac:dyDescent="0.35">
      <c r="B2221" s="30"/>
      <c r="G2221" s="1"/>
      <c r="H2221" s="1"/>
      <c r="K2221" s="32"/>
      <c r="L2221" s="9"/>
      <c r="M2221" s="9"/>
    </row>
    <row r="2222" spans="1:16" ht="15.75" customHeight="1" x14ac:dyDescent="0.35">
      <c r="B2222" s="30"/>
      <c r="G2222" s="1"/>
      <c r="H2222" s="1"/>
      <c r="K2222" s="32" t="s">
        <v>254</v>
      </c>
      <c r="L2222" s="9"/>
      <c r="M2222" s="9"/>
    </row>
    <row r="2223" spans="1:16" ht="15.75" customHeight="1" x14ac:dyDescent="0.35">
      <c r="B2223" s="9"/>
      <c r="C2223" s="9"/>
      <c r="D2223" s="9"/>
      <c r="E2223" s="9"/>
      <c r="F2223" s="12"/>
      <c r="G2223" s="12"/>
      <c r="H2223" s="12"/>
      <c r="I2223" s="12"/>
      <c r="J2223" s="12"/>
      <c r="K2223" s="12"/>
      <c r="L2223" s="1"/>
    </row>
    <row r="2224" spans="1:16" ht="15.75" customHeight="1" x14ac:dyDescent="0.35">
      <c r="B2224" s="13"/>
      <c r="C2224" s="13"/>
      <c r="D2224" s="13"/>
      <c r="E2224" s="13"/>
      <c r="F2224" s="33" t="s">
        <v>341</v>
      </c>
      <c r="G2224" s="13"/>
      <c r="H2224" s="14" t="s">
        <v>255</v>
      </c>
      <c r="I2224" s="13"/>
    </row>
    <row r="2225" spans="1:16" x14ac:dyDescent="0.35">
      <c r="B2225" s="13" t="s">
        <v>5</v>
      </c>
      <c r="C2225" s="13" t="s">
        <v>1</v>
      </c>
      <c r="D2225" s="15" t="str">
        <f>VLOOKUP(A2226,Inventory!$A$4:$K$1139,7)</f>
        <v xml:space="preserve">Klatch                             </v>
      </c>
      <c r="F2225" s="13" t="s">
        <v>235</v>
      </c>
      <c r="G2225" s="16"/>
      <c r="L2225" s="17"/>
      <c r="M2225" s="17"/>
    </row>
    <row r="2226" spans="1:16" x14ac:dyDescent="0.35">
      <c r="A2226">
        <v>154</v>
      </c>
      <c r="B2226" s="5">
        <v>44564</v>
      </c>
      <c r="C2226" s="15" t="str">
        <f>VLOOKUP(A2226,Inventory!$A$4:$K$1139,2)</f>
        <v>Panama Elida Natural 2019</v>
      </c>
      <c r="F2226" s="31" t="s">
        <v>291</v>
      </c>
      <c r="G2226" s="2" t="s">
        <v>270</v>
      </c>
      <c r="L2226" s="17"/>
      <c r="M2226" s="17"/>
      <c r="P2226" s="8"/>
    </row>
    <row r="2227" spans="1:16" x14ac:dyDescent="0.35">
      <c r="F2227" s="13"/>
      <c r="G2227" s="16"/>
      <c r="L2227" s="19"/>
      <c r="M2227" s="19"/>
    </row>
    <row r="2228" spans="1:16" x14ac:dyDescent="0.35">
      <c r="B2228" s="20"/>
      <c r="C2228" s="11" t="s">
        <v>240</v>
      </c>
      <c r="D2228" s="11" t="s">
        <v>272</v>
      </c>
      <c r="E2228" s="11">
        <v>361</v>
      </c>
      <c r="F2228" s="11">
        <v>370</v>
      </c>
      <c r="G2228" s="11">
        <v>377</v>
      </c>
      <c r="H2228" s="11" t="s">
        <v>417</v>
      </c>
      <c r="I2228" s="11"/>
      <c r="J2228" s="11"/>
      <c r="K2228" s="28"/>
      <c r="L2228" s="28"/>
    </row>
    <row r="2229" spans="1:16" ht="15.75" customHeight="1" x14ac:dyDescent="0.35">
      <c r="B2229" s="20" t="s">
        <v>242</v>
      </c>
      <c r="C2229" s="30"/>
      <c r="D2229" s="30"/>
      <c r="E2229" s="23" t="s">
        <v>244</v>
      </c>
      <c r="F2229" s="23" t="s">
        <v>245</v>
      </c>
      <c r="G2229" s="23" t="s">
        <v>246</v>
      </c>
      <c r="H2229" s="23" t="s">
        <v>273</v>
      </c>
      <c r="O2229" s="4"/>
    </row>
    <row r="2230" spans="1:16" ht="1" customHeight="1" x14ac:dyDescent="0.35">
      <c r="B2230" s="24" t="s">
        <v>249</v>
      </c>
      <c r="C2230" s="25"/>
      <c r="D2230" s="25"/>
      <c r="E2230" s="25"/>
      <c r="F2230" s="25"/>
      <c r="G2230" s="25"/>
      <c r="H2230" s="25"/>
      <c r="O2230" t="e">
        <f>(O2228-3*O2227)/O2229</f>
        <v>#DIV/0!</v>
      </c>
    </row>
    <row r="2231" spans="1:16" ht="15.75" customHeight="1" x14ac:dyDescent="0.35">
      <c r="B2231" s="20" t="s">
        <v>250</v>
      </c>
      <c r="C2231" s="26">
        <v>0.22222222222222221</v>
      </c>
      <c r="D2231" s="26">
        <v>0.31597222222222221</v>
      </c>
      <c r="E2231" s="26">
        <v>0.37847222222222227</v>
      </c>
      <c r="F2231" s="26">
        <f>E2231+'Lookup Tables'!$N$1</f>
        <v>0.39930555555555558</v>
      </c>
      <c r="G2231" s="26">
        <f>F2231+'Lookup Tables'!$N$1</f>
        <v>0.4201388888888889</v>
      </c>
      <c r="H2231" s="26">
        <f>G2231+'Lookup Tables'!$S$1</f>
        <v>0.43055555555555558</v>
      </c>
      <c r="N2231">
        <f>MAX(F2228:M2228)-O2231</f>
        <v>16</v>
      </c>
      <c r="O2231" t="str">
        <f>RIGHT(E2228,3)</f>
        <v>361</v>
      </c>
    </row>
    <row r="2232" spans="1:16" ht="15.75" customHeight="1" x14ac:dyDescent="0.35">
      <c r="B2232" s="20" t="s">
        <v>251</v>
      </c>
      <c r="C2232" s="27">
        <v>0.2</v>
      </c>
      <c r="D2232" s="27">
        <v>0.5</v>
      </c>
      <c r="E2232" s="27">
        <v>0.5</v>
      </c>
      <c r="F2232" s="27" t="s">
        <v>274</v>
      </c>
      <c r="G2232" s="27"/>
      <c r="H2232" s="25"/>
      <c r="N2232" t="str">
        <f xml:space="preserve">  N2231 &amp; " degrees this time"</f>
        <v>16 degrees this time</v>
      </c>
    </row>
    <row r="2233" spans="1:16" ht="15.75" customHeight="1" x14ac:dyDescent="0.35">
      <c r="B2233" s="20" t="s">
        <v>252</v>
      </c>
      <c r="C2233" s="27">
        <v>0.9</v>
      </c>
      <c r="D2233" s="27">
        <v>0.7</v>
      </c>
      <c r="E2233" s="27">
        <v>0.6</v>
      </c>
      <c r="F2233" s="27" t="s">
        <v>274</v>
      </c>
      <c r="G2233" s="27"/>
      <c r="H2233" s="27" t="s">
        <v>275</v>
      </c>
    </row>
    <row r="2234" spans="1:16" ht="15.75" customHeight="1" x14ac:dyDescent="0.35">
      <c r="B2234" s="20"/>
      <c r="D2234" s="11"/>
      <c r="E2234" s="11"/>
      <c r="F2234" s="11"/>
    </row>
    <row r="2235" spans="1:16" ht="15.75" customHeight="1" x14ac:dyDescent="0.35">
      <c r="B2235" s="20"/>
      <c r="C2235" s="30"/>
      <c r="D2235" s="11"/>
      <c r="E2235" s="11"/>
      <c r="F2235" s="11"/>
      <c r="G2235" s="1" t="s">
        <v>276</v>
      </c>
      <c r="K2235" s="32" t="s">
        <v>424</v>
      </c>
      <c r="L2235" s="9"/>
      <c r="M2235" s="9"/>
    </row>
    <row r="2236" spans="1:16" ht="15.75" customHeight="1" x14ac:dyDescent="0.35">
      <c r="B2236" s="20"/>
      <c r="G2236" s="1"/>
      <c r="H2236" s="1"/>
      <c r="K2236" s="9"/>
      <c r="L2236" s="9"/>
      <c r="M2236" s="9"/>
    </row>
    <row r="2237" spans="1:16" ht="15.75" customHeight="1" x14ac:dyDescent="0.35">
      <c r="B2237" s="20"/>
      <c r="G2237" s="1"/>
      <c r="H2237" s="1"/>
      <c r="K2237" s="32" t="s">
        <v>277</v>
      </c>
      <c r="L2237" s="9"/>
      <c r="M2237" s="9"/>
    </row>
    <row r="2238" spans="1:16" ht="15.75" customHeight="1" x14ac:dyDescent="0.35">
      <c r="B2238" s="9"/>
      <c r="C2238" s="9"/>
      <c r="D2238" s="9"/>
      <c r="E2238" s="9"/>
      <c r="F2238" s="12"/>
      <c r="G2238" s="12"/>
      <c r="H2238" s="12"/>
      <c r="I2238" s="12"/>
      <c r="J2238" s="12"/>
      <c r="K2238" s="12"/>
      <c r="L2238" s="1"/>
    </row>
    <row r="2239" spans="1:16" ht="15.75" customHeight="1" x14ac:dyDescent="0.35">
      <c r="B2239" s="13"/>
      <c r="C2239" s="13"/>
      <c r="D2239" s="15"/>
      <c r="G2239" s="16"/>
      <c r="H2239" s="14" t="s">
        <v>255</v>
      </c>
    </row>
    <row r="2240" spans="1:16" x14ac:dyDescent="0.35">
      <c r="B2240" s="13" t="s">
        <v>5</v>
      </c>
      <c r="C2240" s="13" t="s">
        <v>1</v>
      </c>
      <c r="D2240" s="15" t="str">
        <f>VLOOKUP(A2241,Inventory!$A$4:$K$1139,7)</f>
        <v>Leverhead Coffee</v>
      </c>
      <c r="F2240" s="13" t="s">
        <v>235</v>
      </c>
      <c r="G2240" s="16"/>
      <c r="L2240" s="17"/>
      <c r="M2240" s="17"/>
    </row>
    <row r="2241" spans="1:16" x14ac:dyDescent="0.35">
      <c r="A2241">
        <v>159</v>
      </c>
      <c r="B2241" s="5">
        <v>44564</v>
      </c>
      <c r="C2241" s="15" t="str">
        <f>VLOOKUP(A2241,Inventory!$A$4:$K$1139,2)</f>
        <v>Rwanda Abakundakawa 2020</v>
      </c>
      <c r="F2241" s="31" t="s">
        <v>291</v>
      </c>
      <c r="G2241" s="2" t="s">
        <v>270</v>
      </c>
      <c r="L2241" s="17"/>
      <c r="M2241" s="17"/>
      <c r="P2241" s="8"/>
    </row>
    <row r="2242" spans="1:16" x14ac:dyDescent="0.35">
      <c r="L2242" s="19"/>
      <c r="M2242" s="19"/>
    </row>
    <row r="2243" spans="1:16" x14ac:dyDescent="0.35">
      <c r="B2243" s="20"/>
      <c r="C2243" s="11" t="s">
        <v>240</v>
      </c>
      <c r="D2243" s="11" t="s">
        <v>241</v>
      </c>
      <c r="E2243" s="11">
        <v>361</v>
      </c>
      <c r="F2243" s="11">
        <v>368</v>
      </c>
      <c r="G2243" s="11">
        <v>375</v>
      </c>
      <c r="H2243" s="11">
        <v>383</v>
      </c>
      <c r="I2243" s="11">
        <v>388</v>
      </c>
      <c r="J2243" s="11"/>
      <c r="K2243" s="28"/>
      <c r="L2243" s="28"/>
    </row>
    <row r="2244" spans="1:16" ht="15.75" customHeight="1" x14ac:dyDescent="0.35">
      <c r="A2244" t="s">
        <v>16</v>
      </c>
      <c r="B2244" s="20" t="s">
        <v>242</v>
      </c>
      <c r="C2244" s="30"/>
      <c r="D2244" s="30"/>
      <c r="E2244" s="23" t="s">
        <v>244</v>
      </c>
      <c r="F2244" s="23" t="s">
        <v>245</v>
      </c>
      <c r="G2244" s="23" t="s">
        <v>246</v>
      </c>
      <c r="H2244" s="23" t="s">
        <v>247</v>
      </c>
      <c r="I2244" s="23" t="s">
        <v>248</v>
      </c>
      <c r="O2244" s="4"/>
    </row>
    <row r="2245" spans="1:16" ht="1" customHeight="1" x14ac:dyDescent="0.35">
      <c r="B2245" s="24" t="s">
        <v>249</v>
      </c>
      <c r="C2245" s="25"/>
      <c r="D2245" s="25"/>
      <c r="E2245" s="25">
        <v>388</v>
      </c>
      <c r="F2245" s="25">
        <v>393</v>
      </c>
      <c r="G2245" s="25">
        <v>397</v>
      </c>
      <c r="H2245" s="25">
        <v>401</v>
      </c>
      <c r="I2245" s="25"/>
      <c r="J2245" t="s">
        <v>280</v>
      </c>
      <c r="K2245" t="s">
        <v>280</v>
      </c>
      <c r="L2245" t="s">
        <v>280</v>
      </c>
      <c r="O2245" t="e">
        <f>(O2243-3*O2242)/O2244</f>
        <v>#DIV/0!</v>
      </c>
    </row>
    <row r="2246" spans="1:16" ht="15.75" customHeight="1" x14ac:dyDescent="0.35">
      <c r="B2246" s="20" t="s">
        <v>250</v>
      </c>
      <c r="C2246" s="26">
        <v>0.22222222222222221</v>
      </c>
      <c r="D2246" s="26">
        <v>0.30208333333333331</v>
      </c>
      <c r="E2246" s="26">
        <v>0.38541666666666669</v>
      </c>
      <c r="F2246" s="26">
        <f>E2246+'Lookup Tables'!$N$1</f>
        <v>0.40625</v>
      </c>
      <c r="G2246" s="26">
        <f>F2246+'Lookup Tables'!$N$1</f>
        <v>0.42708333333333331</v>
      </c>
      <c r="H2246" s="26">
        <f>G2246+'Lookup Tables'!$N$1</f>
        <v>0.44791666666666663</v>
      </c>
      <c r="I2246" s="26">
        <f>H2246+'Lookup Tables'!$S$1</f>
        <v>0.45833333333333331</v>
      </c>
      <c r="N2246">
        <f>MAX(F2243:M2243)-O2246</f>
        <v>27</v>
      </c>
      <c r="O2246" t="str">
        <f>RIGHT(E2243,3)</f>
        <v>361</v>
      </c>
    </row>
    <row r="2247" spans="1:16" ht="15.75" customHeight="1" x14ac:dyDescent="0.35">
      <c r="B2247" s="20" t="s">
        <v>251</v>
      </c>
      <c r="C2247" s="27">
        <v>0.2</v>
      </c>
      <c r="D2247" s="27">
        <v>0.5</v>
      </c>
      <c r="E2247" s="27"/>
      <c r="F2247" s="27"/>
      <c r="G2247" s="27"/>
      <c r="H2247" s="27" t="s">
        <v>274</v>
      </c>
      <c r="I2247" s="27"/>
      <c r="N2247" t="str">
        <f xml:space="preserve">  N2246 &amp; " degrees this time"</f>
        <v>27 degrees this time</v>
      </c>
    </row>
    <row r="2248" spans="1:16" ht="15.75" customHeight="1" x14ac:dyDescent="0.35">
      <c r="B2248" s="20" t="s">
        <v>252</v>
      </c>
      <c r="C2248" s="27">
        <v>0.9</v>
      </c>
      <c r="D2248" s="27">
        <v>0.8</v>
      </c>
      <c r="E2248" s="27">
        <v>0.6</v>
      </c>
      <c r="F2248" s="27">
        <v>0.5</v>
      </c>
      <c r="G2248" s="27">
        <v>0.3</v>
      </c>
      <c r="H2248" s="27" t="s">
        <v>274</v>
      </c>
      <c r="I2248" s="27" t="s">
        <v>275</v>
      </c>
    </row>
    <row r="2249" spans="1:16" ht="15.75" customHeight="1" x14ac:dyDescent="0.35">
      <c r="B2249" s="20"/>
      <c r="C2249" s="30"/>
      <c r="D2249" s="11"/>
      <c r="E2249" s="11"/>
      <c r="F2249" s="11"/>
      <c r="H2249" s="1"/>
      <c r="J2249" s="35"/>
      <c r="K2249" s="35"/>
    </row>
    <row r="2250" spans="1:16" ht="15.75" customHeight="1" x14ac:dyDescent="0.35">
      <c r="G2250" s="1" t="s">
        <v>418</v>
      </c>
      <c r="K2250" s="32"/>
      <c r="L2250" s="9"/>
      <c r="M2250" s="9"/>
    </row>
    <row r="2251" spans="1:16" ht="15.75" customHeight="1" x14ac:dyDescent="0.35">
      <c r="B2251" s="20"/>
      <c r="G2251" s="1"/>
      <c r="H2251" s="1"/>
      <c r="K2251" s="32"/>
      <c r="L2251" s="9"/>
      <c r="M2251" s="9"/>
    </row>
    <row r="2252" spans="1:16" ht="15.75" customHeight="1" x14ac:dyDescent="0.35">
      <c r="B2252" s="20"/>
      <c r="G2252" s="1"/>
      <c r="H2252" s="1"/>
      <c r="K2252" s="32" t="s">
        <v>254</v>
      </c>
      <c r="L2252" s="9"/>
      <c r="M2252" s="9"/>
    </row>
    <row r="2253" spans="1:16" ht="15.75" customHeight="1" x14ac:dyDescent="0.35">
      <c r="B2253" s="9"/>
      <c r="C2253" s="9"/>
      <c r="D2253" s="9"/>
      <c r="E2253" s="9"/>
      <c r="F2253" s="12"/>
      <c r="G2253" s="12"/>
      <c r="H2253" s="12"/>
      <c r="I2253" s="12"/>
      <c r="J2253" s="12"/>
      <c r="K2253" s="12"/>
      <c r="L2253" s="1"/>
    </row>
    <row r="2254" spans="1:16" ht="15.75" customHeight="1" x14ac:dyDescent="0.35">
      <c r="B2254" s="13"/>
      <c r="C2254" s="13"/>
      <c r="D2254" s="13"/>
      <c r="E2254" s="13"/>
      <c r="F2254" s="13"/>
      <c r="G2254" s="13"/>
      <c r="I2254" s="14"/>
    </row>
    <row r="2255" spans="1:16" x14ac:dyDescent="0.35">
      <c r="B2255" s="13" t="s">
        <v>5</v>
      </c>
      <c r="C2255" s="13" t="s">
        <v>1</v>
      </c>
      <c r="D2255" s="15" t="str">
        <f>VLOOKUP(A2256,Inventory!$A$4:$K$1139,7)</f>
        <v xml:space="preserve">Klatch                             </v>
      </c>
      <c r="F2255" s="13" t="s">
        <v>235</v>
      </c>
      <c r="G2255" s="16"/>
      <c r="L2255" s="17"/>
      <c r="M2255" s="17"/>
    </row>
    <row r="2256" spans="1:16" x14ac:dyDescent="0.35">
      <c r="A2256">
        <v>162</v>
      </c>
      <c r="B2256" s="5">
        <v>44564</v>
      </c>
      <c r="C2256" s="15" t="str">
        <f>VLOOKUP(A2256,Inventory!$A$4:$K$1139,2)</f>
        <v>El Salvador Las Mercedes Caturra 2020</v>
      </c>
      <c r="F2256" s="34" t="s">
        <v>279</v>
      </c>
      <c r="G2256" s="2" t="s">
        <v>270</v>
      </c>
      <c r="L2256" s="17"/>
      <c r="M2256" s="17"/>
      <c r="P2256" s="8"/>
    </row>
    <row r="2257" spans="1:16" x14ac:dyDescent="0.35">
      <c r="L2257" s="19"/>
      <c r="M2257" s="19"/>
    </row>
    <row r="2258" spans="1:16" x14ac:dyDescent="0.35">
      <c r="B2258" s="20"/>
      <c r="C2258" s="11" t="s">
        <v>240</v>
      </c>
      <c r="D2258" s="11" t="s">
        <v>272</v>
      </c>
      <c r="E2258" s="11">
        <v>358</v>
      </c>
      <c r="F2258" s="11">
        <v>367</v>
      </c>
      <c r="G2258" s="11">
        <v>375</v>
      </c>
      <c r="H2258" s="11">
        <v>382</v>
      </c>
      <c r="I2258" s="11"/>
      <c r="J2258" s="11"/>
      <c r="K2258" s="28"/>
      <c r="L2258" s="28"/>
    </row>
    <row r="2259" spans="1:16" ht="15.75" customHeight="1" x14ac:dyDescent="0.35">
      <c r="B2259" s="20" t="s">
        <v>242</v>
      </c>
      <c r="C2259" s="21"/>
      <c r="D2259" s="22" t="s">
        <v>294</v>
      </c>
      <c r="E2259" s="23" t="s">
        <v>244</v>
      </c>
      <c r="F2259" s="23" t="s">
        <v>245</v>
      </c>
      <c r="G2259" s="23" t="s">
        <v>246</v>
      </c>
      <c r="H2259" s="23" t="s">
        <v>247</v>
      </c>
      <c r="O2259" s="4"/>
    </row>
    <row r="2260" spans="1:16" ht="1" customHeight="1" x14ac:dyDescent="0.35">
      <c r="B2260" s="24" t="s">
        <v>249</v>
      </c>
      <c r="C2260" s="25"/>
      <c r="D2260" s="25"/>
      <c r="E2260" s="25">
        <v>384</v>
      </c>
      <c r="F2260" s="25">
        <v>392</v>
      </c>
      <c r="G2260" s="25">
        <v>395</v>
      </c>
      <c r="H2260" s="25"/>
      <c r="O2260" t="e">
        <f>(O2258-3*O2257)/O2259</f>
        <v>#DIV/0!</v>
      </c>
    </row>
    <row r="2261" spans="1:16" ht="15.75" customHeight="1" x14ac:dyDescent="0.35">
      <c r="B2261" s="20" t="s">
        <v>250</v>
      </c>
      <c r="C2261" s="26">
        <v>0.22916666666666666</v>
      </c>
      <c r="D2261" s="26">
        <v>0.31944444444444448</v>
      </c>
      <c r="E2261" s="26">
        <v>0.37152777777777773</v>
      </c>
      <c r="F2261" s="26">
        <f>E2261+'Lookup Tables'!$N$1</f>
        <v>0.39236111111111105</v>
      </c>
      <c r="G2261" s="26">
        <f>F2261+'Lookup Tables'!$N$1</f>
        <v>0.41319444444444436</v>
      </c>
      <c r="H2261" s="26">
        <f>G2261+'Lookup Tables'!$N$1</f>
        <v>0.43402777777777768</v>
      </c>
      <c r="N2261">
        <f>MAX(F2258:M2258)-O2261</f>
        <v>24</v>
      </c>
      <c r="O2261" t="str">
        <f>RIGHT(E2258,3)</f>
        <v>358</v>
      </c>
    </row>
    <row r="2262" spans="1:16" ht="15.75" customHeight="1" x14ac:dyDescent="0.35">
      <c r="B2262" s="20" t="s">
        <v>251</v>
      </c>
      <c r="C2262" s="27">
        <v>0.2</v>
      </c>
      <c r="D2262" s="27">
        <v>0.5</v>
      </c>
      <c r="E2262" s="27"/>
      <c r="F2262" s="27" t="s">
        <v>274</v>
      </c>
      <c r="G2262" s="27"/>
      <c r="H2262" s="27"/>
      <c r="N2262" t="str">
        <f xml:space="preserve">  N2261 &amp; " degrees this time"</f>
        <v>24 degrees this time</v>
      </c>
    </row>
    <row r="2263" spans="1:16" ht="15.75" customHeight="1" x14ac:dyDescent="0.35">
      <c r="B2263" s="20" t="s">
        <v>252</v>
      </c>
      <c r="C2263" s="27">
        <v>0.9</v>
      </c>
      <c r="D2263" s="27">
        <v>0.8</v>
      </c>
      <c r="E2263" s="27">
        <v>0.5</v>
      </c>
      <c r="F2263" s="27" t="s">
        <v>274</v>
      </c>
      <c r="G2263" s="27"/>
      <c r="H2263" s="27" t="s">
        <v>275</v>
      </c>
    </row>
    <row r="2264" spans="1:16" ht="15.75" customHeight="1" x14ac:dyDescent="0.35">
      <c r="B2264" s="20"/>
      <c r="C2264" s="30"/>
      <c r="H2264" s="13"/>
      <c r="I2264" s="13"/>
      <c r="J2264" s="35"/>
    </row>
    <row r="2265" spans="1:16" ht="15.75" customHeight="1" x14ac:dyDescent="0.35">
      <c r="C2265" s="30"/>
      <c r="G2265" s="1" t="s">
        <v>344</v>
      </c>
      <c r="K2265" s="32" t="s">
        <v>345</v>
      </c>
      <c r="L2265" s="9"/>
      <c r="M2265" s="9"/>
    </row>
    <row r="2266" spans="1:16" ht="15.75" customHeight="1" x14ac:dyDescent="0.35">
      <c r="B2266" s="20"/>
      <c r="G2266" s="1"/>
      <c r="H2266" s="1"/>
      <c r="K2266" s="32"/>
      <c r="L2266" s="9"/>
      <c r="M2266" s="9"/>
    </row>
    <row r="2267" spans="1:16" ht="15.75" customHeight="1" x14ac:dyDescent="0.35">
      <c r="B2267" s="20"/>
      <c r="G2267" s="1"/>
      <c r="H2267" s="1"/>
      <c r="K2267" s="32" t="s">
        <v>277</v>
      </c>
      <c r="L2267" s="9"/>
      <c r="M2267" s="9"/>
    </row>
    <row r="2268" spans="1:16" ht="15.75" customHeight="1" x14ac:dyDescent="0.35">
      <c r="B2268" s="9"/>
      <c r="C2268" s="9"/>
      <c r="D2268" s="9"/>
      <c r="E2268" s="9"/>
      <c r="F2268" s="12"/>
      <c r="G2268" s="12"/>
      <c r="H2268" s="12"/>
      <c r="I2268" s="12"/>
      <c r="J2268" s="12"/>
      <c r="K2268" s="12"/>
      <c r="L2268" s="1"/>
    </row>
    <row r="2269" spans="1:16" ht="15.75" customHeight="1" x14ac:dyDescent="0.35">
      <c r="B2269" s="13"/>
      <c r="C2269" s="13"/>
      <c r="D2269" s="15"/>
      <c r="G2269" s="16"/>
      <c r="I2269" s="14"/>
    </row>
    <row r="2270" spans="1:16" x14ac:dyDescent="0.35">
      <c r="B2270" s="13" t="s">
        <v>5</v>
      </c>
      <c r="C2270" s="13" t="s">
        <v>1</v>
      </c>
      <c r="D2270" s="15" t="str">
        <f>VLOOKUP(A2271,Inventory!$A$4:$K$1139,7)</f>
        <v>Coffee Bean corral</v>
      </c>
      <c r="F2270" s="13" t="s">
        <v>235</v>
      </c>
      <c r="G2270" s="16"/>
      <c r="L2270" s="17"/>
      <c r="M2270" s="17"/>
    </row>
    <row r="2271" spans="1:16" x14ac:dyDescent="0.35">
      <c r="A2271">
        <v>151</v>
      </c>
      <c r="B2271" s="5">
        <v>44537</v>
      </c>
      <c r="C2271" s="15" t="str">
        <f>VLOOKUP(A2271,Inventory!$A$4:$K$1139,2)</f>
        <v>Yemen Mocca Ismaili Natural 2018</v>
      </c>
      <c r="F2271" s="34" t="s">
        <v>279</v>
      </c>
      <c r="G2271" s="2" t="s">
        <v>286</v>
      </c>
      <c r="L2271" s="17"/>
      <c r="M2271" s="17"/>
      <c r="P2271" s="8"/>
    </row>
    <row r="2272" spans="1:16" x14ac:dyDescent="0.35">
      <c r="B2272" t="s">
        <v>16</v>
      </c>
      <c r="G2272" s="16"/>
      <c r="L2272" s="19"/>
      <c r="M2272" s="19"/>
    </row>
    <row r="2273" spans="1:16" x14ac:dyDescent="0.35">
      <c r="B2273" s="20"/>
      <c r="C2273" s="11" t="s">
        <v>240</v>
      </c>
      <c r="D2273" s="11" t="s">
        <v>272</v>
      </c>
      <c r="E2273" s="11" t="s">
        <v>425</v>
      </c>
      <c r="F2273" s="11">
        <v>384</v>
      </c>
      <c r="G2273" s="11">
        <v>392</v>
      </c>
      <c r="H2273" s="11">
        <v>395</v>
      </c>
      <c r="I2273" s="11"/>
      <c r="J2273" s="11"/>
      <c r="K2273" s="11"/>
      <c r="L2273" s="28"/>
    </row>
    <row r="2274" spans="1:16" ht="15.75" customHeight="1" x14ac:dyDescent="0.35">
      <c r="B2274" s="20" t="s">
        <v>242</v>
      </c>
      <c r="C2274" s="21"/>
      <c r="D2274" s="22" t="s">
        <v>294</v>
      </c>
      <c r="E2274" s="23" t="s">
        <v>244</v>
      </c>
      <c r="F2274" s="23" t="s">
        <v>245</v>
      </c>
      <c r="G2274" s="23" t="s">
        <v>246</v>
      </c>
      <c r="H2274" s="23" t="s">
        <v>273</v>
      </c>
      <c r="O2274" s="4"/>
    </row>
    <row r="2275" spans="1:16" ht="1" customHeight="1" x14ac:dyDescent="0.35">
      <c r="B2275" s="24" t="s">
        <v>249</v>
      </c>
      <c r="C2275" s="25">
        <v>320</v>
      </c>
      <c r="D2275" s="25">
        <v>350</v>
      </c>
      <c r="E2275" s="25"/>
      <c r="F2275" s="25"/>
      <c r="G2275" s="25"/>
      <c r="H2275" s="23" t="s">
        <v>247</v>
      </c>
      <c r="O2275" t="e">
        <f>(O2273-3*O2272)/O2274</f>
        <v>#DIV/0!</v>
      </c>
    </row>
    <row r="2276" spans="1:16" ht="15.75" customHeight="1" x14ac:dyDescent="0.35">
      <c r="B2276" s="20" t="s">
        <v>250</v>
      </c>
      <c r="C2276" s="26">
        <v>0.21527777777777779</v>
      </c>
      <c r="D2276" s="26">
        <v>0.30555555555555552</v>
      </c>
      <c r="E2276" s="26">
        <v>0.3923611111111111</v>
      </c>
      <c r="F2276" s="26">
        <f>E2276+'Lookup Tables'!$N$1</f>
        <v>0.41319444444444442</v>
      </c>
      <c r="G2276" s="26">
        <f>F2276+'Lookup Tables'!$N$1</f>
        <v>0.43402777777777773</v>
      </c>
      <c r="H2276" s="26">
        <f>G2276+'Lookup Tables'!$S$1</f>
        <v>0.44444444444444442</v>
      </c>
      <c r="I2276" s="11"/>
      <c r="J2276" s="11"/>
      <c r="K2276" s="11"/>
      <c r="N2276">
        <f>MAX(F2273:M2273)-O2276</f>
        <v>19</v>
      </c>
      <c r="O2276" t="str">
        <f>RIGHT(E2273,3)</f>
        <v>376</v>
      </c>
    </row>
    <row r="2277" spans="1:16" ht="15.75" customHeight="1" x14ac:dyDescent="0.35">
      <c r="B2277" s="20" t="s">
        <v>251</v>
      </c>
      <c r="C2277" s="27">
        <v>0.2</v>
      </c>
      <c r="D2277" s="27">
        <v>0.5</v>
      </c>
      <c r="E2277" s="27"/>
      <c r="F2277" s="27"/>
      <c r="G2277" s="27">
        <v>0.25</v>
      </c>
      <c r="H2277" s="27"/>
      <c r="N2277" t="str">
        <f xml:space="preserve">  N2276 &amp; " degrees this time"</f>
        <v>19 degrees this time</v>
      </c>
    </row>
    <row r="2278" spans="1:16" ht="15.75" customHeight="1" x14ac:dyDescent="0.35">
      <c r="B2278" s="20" t="s">
        <v>252</v>
      </c>
      <c r="C2278" s="27">
        <v>0.9</v>
      </c>
      <c r="D2278" s="27">
        <v>0.7</v>
      </c>
      <c r="E2278" s="27">
        <v>0.4</v>
      </c>
      <c r="F2278" s="27"/>
      <c r="G2278" s="27"/>
      <c r="H2278" s="27" t="s">
        <v>275</v>
      </c>
    </row>
    <row r="2279" spans="1:16" ht="15.75" customHeight="1" x14ac:dyDescent="0.35">
      <c r="B2279" s="20"/>
      <c r="D2279" s="11"/>
      <c r="E2279" s="40"/>
      <c r="F2279" s="11"/>
      <c r="G2279" s="11"/>
      <c r="K2279" s="32" t="s">
        <v>402</v>
      </c>
      <c r="L2279" s="9"/>
      <c r="M2279" s="9"/>
    </row>
    <row r="2280" spans="1:16" ht="15.75" customHeight="1" x14ac:dyDescent="0.35">
      <c r="B2280" s="38"/>
      <c r="D2280" s="15"/>
      <c r="F2280" s="13"/>
      <c r="G2280" s="1" t="s">
        <v>403</v>
      </c>
      <c r="K2280" s="32"/>
      <c r="L2280" s="9"/>
      <c r="M2280" s="9"/>
    </row>
    <row r="2281" spans="1:16" ht="15.75" customHeight="1" x14ac:dyDescent="0.35">
      <c r="B2281" s="20"/>
      <c r="G2281" s="1"/>
      <c r="H2281" s="1"/>
      <c r="K2281" s="9"/>
      <c r="L2281" s="9"/>
      <c r="M2281" s="9"/>
    </row>
    <row r="2282" spans="1:16" ht="15.75" customHeight="1" x14ac:dyDescent="0.35">
      <c r="B2282" s="20"/>
      <c r="G2282" s="1"/>
      <c r="H2282" s="1"/>
      <c r="K2282" s="9" t="s">
        <v>297</v>
      </c>
      <c r="L2282" s="9"/>
      <c r="M2282" s="9"/>
    </row>
    <row r="2283" spans="1:16" ht="15.75" customHeight="1" x14ac:dyDescent="0.35">
      <c r="B2283" s="9"/>
      <c r="C2283" s="9"/>
      <c r="D2283" s="9"/>
      <c r="E2283" s="9"/>
      <c r="F2283" s="12"/>
      <c r="G2283" s="12"/>
      <c r="H2283" s="12"/>
      <c r="I2283" s="12"/>
      <c r="J2283" s="12"/>
      <c r="K2283" s="12"/>
      <c r="L2283" s="1"/>
    </row>
    <row r="2284" spans="1:16" ht="15.75" customHeight="1" x14ac:dyDescent="0.35">
      <c r="B2284" s="13"/>
      <c r="C2284" s="13"/>
      <c r="D2284" s="15"/>
      <c r="G2284" s="16"/>
      <c r="H2284" s="14" t="s">
        <v>255</v>
      </c>
      <c r="I2284" s="14"/>
    </row>
    <row r="2285" spans="1:16" x14ac:dyDescent="0.35">
      <c r="B2285" s="13" t="s">
        <v>5</v>
      </c>
      <c r="C2285" s="13" t="s">
        <v>1</v>
      </c>
      <c r="D2285" s="15" t="str">
        <f>VLOOKUP(A2286,Inventory!$A$4:$K$1139,7)</f>
        <v xml:space="preserve">Sweet Marias                       </v>
      </c>
      <c r="F2285" s="13" t="s">
        <v>235</v>
      </c>
      <c r="G2285" s="16"/>
      <c r="L2285" s="17"/>
      <c r="M2285" s="17"/>
    </row>
    <row r="2286" spans="1:16" x14ac:dyDescent="0.35">
      <c r="A2286">
        <v>153</v>
      </c>
      <c r="B2286" s="5">
        <v>44537</v>
      </c>
      <c r="C2286" s="15" t="str">
        <f>VLOOKUP(A2286,Inventory!$A$4:$K$1139,2)</f>
        <v>Yemen Mokha Matari 2019</v>
      </c>
      <c r="F2286" s="31" t="s">
        <v>291</v>
      </c>
      <c r="G2286" s="2" t="s">
        <v>286</v>
      </c>
      <c r="L2286" s="17"/>
      <c r="M2286" s="17"/>
      <c r="P2286" s="8"/>
    </row>
    <row r="2287" spans="1:16" x14ac:dyDescent="0.35">
      <c r="B2287" t="s">
        <v>16</v>
      </c>
      <c r="G2287" s="16"/>
      <c r="L2287" s="19"/>
      <c r="M2287" s="19"/>
    </row>
    <row r="2288" spans="1:16" x14ac:dyDescent="0.35">
      <c r="B2288" s="20"/>
      <c r="C2288" s="11" t="s">
        <v>240</v>
      </c>
      <c r="D2288" s="11" t="s">
        <v>272</v>
      </c>
      <c r="E2288" s="11" t="s">
        <v>426</v>
      </c>
      <c r="F2288" s="11">
        <v>375</v>
      </c>
      <c r="G2288" s="11">
        <v>384</v>
      </c>
      <c r="H2288" s="11">
        <v>388</v>
      </c>
      <c r="I2288" s="11">
        <v>392</v>
      </c>
      <c r="J2288" s="11"/>
      <c r="K2288" s="11"/>
      <c r="L2288" s="28"/>
    </row>
    <row r="2289" spans="1:16" ht="15.75" customHeight="1" x14ac:dyDescent="0.35">
      <c r="B2289" s="20" t="s">
        <v>242</v>
      </c>
      <c r="C2289" s="21"/>
      <c r="D2289" s="22" t="s">
        <v>294</v>
      </c>
      <c r="E2289" s="23" t="s">
        <v>244</v>
      </c>
      <c r="F2289" s="23" t="s">
        <v>245</v>
      </c>
      <c r="G2289" s="23" t="s">
        <v>246</v>
      </c>
      <c r="H2289" s="23" t="s">
        <v>273</v>
      </c>
      <c r="I2289" s="23" t="s">
        <v>247</v>
      </c>
      <c r="O2289" s="4"/>
    </row>
    <row r="2290" spans="1:16" ht="1" customHeight="1" x14ac:dyDescent="0.35">
      <c r="B2290" s="24" t="s">
        <v>249</v>
      </c>
      <c r="C2290" s="25">
        <v>320</v>
      </c>
      <c r="D2290" s="25">
        <v>350</v>
      </c>
      <c r="E2290" s="25"/>
      <c r="F2290" s="25"/>
      <c r="G2290" s="25"/>
      <c r="H2290" s="23" t="s">
        <v>247</v>
      </c>
      <c r="I2290" s="25"/>
      <c r="O2290" t="e">
        <f>(O2288-3*O2287)/O2289</f>
        <v>#DIV/0!</v>
      </c>
    </row>
    <row r="2291" spans="1:16" ht="15.75" customHeight="1" x14ac:dyDescent="0.35">
      <c r="B2291" s="20" t="s">
        <v>250</v>
      </c>
      <c r="C2291" s="26">
        <v>0.21875</v>
      </c>
      <c r="D2291" s="26">
        <v>0.3125</v>
      </c>
      <c r="E2291" s="26">
        <v>0.40625</v>
      </c>
      <c r="F2291" s="26">
        <f>E2291+'Lookup Tables'!$N$1</f>
        <v>0.42708333333333331</v>
      </c>
      <c r="G2291" s="26">
        <f>F2291+'Lookup Tables'!$N$1</f>
        <v>0.44791666666666663</v>
      </c>
      <c r="H2291" s="26">
        <f>G2291+'Lookup Tables'!$S$1</f>
        <v>0.45833333333333331</v>
      </c>
      <c r="I2291" s="26">
        <f>H2291+'Lookup Tables'!$S$1</f>
        <v>0.46875</v>
      </c>
      <c r="J2291" s="11"/>
      <c r="K2291" s="11"/>
      <c r="N2291">
        <f>MAX(F2288:M2288)-O2291</f>
        <v>22</v>
      </c>
      <c r="O2291" t="str">
        <f>RIGHT(E2288,3)</f>
        <v>370</v>
      </c>
    </row>
    <row r="2292" spans="1:16" ht="15.75" customHeight="1" x14ac:dyDescent="0.35">
      <c r="B2292" s="20" t="s">
        <v>251</v>
      </c>
      <c r="C2292" s="27">
        <v>0.2</v>
      </c>
      <c r="D2292" s="27">
        <v>0.5</v>
      </c>
      <c r="E2292" s="27"/>
      <c r="F2292" s="27"/>
      <c r="G2292" s="27">
        <v>0.25</v>
      </c>
      <c r="H2292" s="27"/>
      <c r="I2292" s="27"/>
      <c r="N2292" t="str">
        <f xml:space="preserve">  N2291 &amp; " degrees this time"</f>
        <v>22 degrees this time</v>
      </c>
    </row>
    <row r="2293" spans="1:16" ht="15.75" customHeight="1" x14ac:dyDescent="0.35">
      <c r="B2293" s="20" t="s">
        <v>252</v>
      </c>
      <c r="C2293" s="27">
        <v>0.9</v>
      </c>
      <c r="D2293" s="27">
        <v>0.7</v>
      </c>
      <c r="E2293" s="27">
        <v>0.7</v>
      </c>
      <c r="F2293" s="27">
        <v>0.5</v>
      </c>
      <c r="G2293" s="27"/>
      <c r="H2293" s="27"/>
      <c r="I2293" s="27" t="s">
        <v>275</v>
      </c>
    </row>
    <row r="2294" spans="1:16" ht="15.75" customHeight="1" x14ac:dyDescent="0.35">
      <c r="B2294" s="20"/>
      <c r="D2294" s="11"/>
      <c r="E2294" s="40"/>
      <c r="F2294" s="11"/>
      <c r="G2294" s="11"/>
      <c r="K2294" s="32" t="s">
        <v>314</v>
      </c>
      <c r="L2294" s="9"/>
      <c r="M2294" s="9"/>
    </row>
    <row r="2295" spans="1:16" ht="15.75" customHeight="1" x14ac:dyDescent="0.35">
      <c r="B2295" s="38"/>
      <c r="D2295" s="15"/>
      <c r="F2295" s="13"/>
      <c r="G2295" s="1" t="s">
        <v>296</v>
      </c>
      <c r="K2295" s="32"/>
      <c r="L2295" s="9"/>
      <c r="M2295" s="9"/>
    </row>
    <row r="2296" spans="1:16" ht="15.75" customHeight="1" x14ac:dyDescent="0.35">
      <c r="B2296" s="20"/>
      <c r="G2296" s="1"/>
      <c r="H2296" s="1"/>
      <c r="K2296" s="9"/>
      <c r="L2296" s="9"/>
      <c r="M2296" s="9"/>
    </row>
    <row r="2297" spans="1:16" ht="15.75" customHeight="1" x14ac:dyDescent="0.35">
      <c r="B2297" s="20"/>
      <c r="G2297" s="1"/>
      <c r="H2297" s="1"/>
      <c r="K2297" s="9" t="s">
        <v>297</v>
      </c>
      <c r="L2297" s="9"/>
      <c r="M2297" s="9"/>
    </row>
    <row r="2298" spans="1:16" ht="15.75" customHeight="1" x14ac:dyDescent="0.35">
      <c r="B2298" s="9"/>
      <c r="C2298" s="9"/>
      <c r="D2298" s="9"/>
      <c r="E2298" s="9"/>
      <c r="F2298" s="12"/>
      <c r="G2298" s="12"/>
      <c r="H2298" s="12"/>
      <c r="I2298" s="12"/>
      <c r="J2298" s="12"/>
      <c r="K2298" s="12"/>
      <c r="L2298" s="1"/>
    </row>
    <row r="2299" spans="1:16" ht="15.75" customHeight="1" x14ac:dyDescent="0.35">
      <c r="B2299" s="13"/>
      <c r="C2299" s="13"/>
      <c r="D2299" s="15"/>
      <c r="H2299" s="14" t="s">
        <v>255</v>
      </c>
    </row>
    <row r="2300" spans="1:16" x14ac:dyDescent="0.35">
      <c r="B2300" s="13" t="s">
        <v>5</v>
      </c>
      <c r="C2300" s="13" t="s">
        <v>1</v>
      </c>
      <c r="D2300" s="15" t="str">
        <f>VLOOKUP(A2301,Inventory!$A$4:$K$1139,7)</f>
        <v>Burman Coffee</v>
      </c>
      <c r="F2300" s="13" t="s">
        <v>235</v>
      </c>
      <c r="G2300" s="16"/>
      <c r="L2300" s="17"/>
      <c r="M2300" s="17"/>
    </row>
    <row r="2301" spans="1:16" x14ac:dyDescent="0.35">
      <c r="A2301">
        <v>165</v>
      </c>
      <c r="B2301" s="5">
        <v>44537</v>
      </c>
      <c r="C2301" s="15" t="str">
        <f>VLOOKUP(A2301,Inventory!$A$4:$K$1139,2)</f>
        <v>Ethiopian Guji Natural - Shakiso 2020</v>
      </c>
      <c r="F2301" s="31" t="s">
        <v>291</v>
      </c>
      <c r="G2301" s="2" t="s">
        <v>286</v>
      </c>
      <c r="L2301" s="17"/>
      <c r="M2301" s="17"/>
      <c r="P2301" s="8"/>
    </row>
    <row r="2302" spans="1:16" x14ac:dyDescent="0.35">
      <c r="F2302" s="11"/>
      <c r="G2302" s="11"/>
      <c r="H2302" s="11"/>
      <c r="I2302" s="11"/>
      <c r="J2302" s="11"/>
      <c r="K2302" s="11"/>
      <c r="L2302" s="28"/>
      <c r="M2302" s="36"/>
    </row>
    <row r="2303" spans="1:16" x14ac:dyDescent="0.35">
      <c r="B2303" s="20"/>
      <c r="C2303" s="11" t="s">
        <v>240</v>
      </c>
      <c r="D2303" s="11" t="s">
        <v>272</v>
      </c>
      <c r="E2303" s="11" t="s">
        <v>427</v>
      </c>
      <c r="F2303" s="11">
        <v>375</v>
      </c>
      <c r="G2303" s="11">
        <v>383</v>
      </c>
      <c r="H2303" s="11">
        <v>394</v>
      </c>
      <c r="I2303" s="11"/>
      <c r="J2303" s="11"/>
      <c r="K2303" s="11"/>
      <c r="L2303" s="28"/>
    </row>
    <row r="2304" spans="1:16" ht="15.75" customHeight="1" x14ac:dyDescent="0.35">
      <c r="B2304" s="20" t="s">
        <v>242</v>
      </c>
      <c r="C2304" s="30"/>
      <c r="D2304" s="30"/>
      <c r="E2304" s="23" t="s">
        <v>244</v>
      </c>
      <c r="F2304" s="23" t="s">
        <v>245</v>
      </c>
      <c r="G2304" s="23" t="s">
        <v>246</v>
      </c>
      <c r="H2304" s="23" t="s">
        <v>247</v>
      </c>
      <c r="I2304" s="23" t="s">
        <v>248</v>
      </c>
      <c r="O2304" s="4"/>
    </row>
    <row r="2305" spans="1:16" ht="1" customHeight="1" x14ac:dyDescent="0.35">
      <c r="B2305" s="24" t="s">
        <v>249</v>
      </c>
      <c r="C2305" s="25"/>
      <c r="D2305" s="25"/>
      <c r="E2305" s="25"/>
      <c r="F2305" s="25"/>
      <c r="G2305" s="25"/>
      <c r="H2305" s="25"/>
      <c r="I2305" s="25"/>
      <c r="O2305" t="e">
        <f>(O2303-3*O2302)/O2304</f>
        <v>#DIV/0!</v>
      </c>
    </row>
    <row r="2306" spans="1:16" ht="15.75" customHeight="1" x14ac:dyDescent="0.35">
      <c r="B2306" s="20" t="s">
        <v>250</v>
      </c>
      <c r="C2306" s="26">
        <v>0.20833333333333334</v>
      </c>
      <c r="D2306" s="26">
        <v>0.30555555555555552</v>
      </c>
      <c r="E2306" s="26">
        <v>0.375</v>
      </c>
      <c r="F2306" s="26">
        <f>E2306+'Lookup Tables'!$N$1</f>
        <v>0.39583333333333331</v>
      </c>
      <c r="G2306" s="26">
        <f>F2306+'Lookup Tables'!$N$1</f>
        <v>0.41666666666666663</v>
      </c>
      <c r="H2306" s="26">
        <f>G2306+'Lookup Tables'!$N$1</f>
        <v>0.43749999999999994</v>
      </c>
      <c r="I2306" s="26">
        <f>H2306+'Lookup Tables'!$S$1</f>
        <v>0.44791666666666663</v>
      </c>
      <c r="N2306">
        <f>MAX(F2303:M2303)-O2306</f>
        <v>28</v>
      </c>
      <c r="O2306" t="str">
        <f>RIGHT(E2303,3)</f>
        <v>366</v>
      </c>
    </row>
    <row r="2307" spans="1:16" ht="15.75" customHeight="1" x14ac:dyDescent="0.35">
      <c r="B2307" s="20" t="s">
        <v>251</v>
      </c>
      <c r="C2307" s="27">
        <v>0.2</v>
      </c>
      <c r="D2307" s="27">
        <v>0.5</v>
      </c>
      <c r="E2307" s="27"/>
      <c r="F2307" s="27"/>
      <c r="G2307" s="27"/>
      <c r="H2307" s="25"/>
      <c r="I2307" s="25"/>
      <c r="N2307" t="str">
        <f xml:space="preserve">  N2306 &amp; " degrees this time"</f>
        <v>28 degrees this time</v>
      </c>
    </row>
    <row r="2308" spans="1:16" ht="15.75" customHeight="1" x14ac:dyDescent="0.35">
      <c r="B2308" s="20" t="s">
        <v>252</v>
      </c>
      <c r="C2308" s="27">
        <v>0.9</v>
      </c>
      <c r="D2308" s="27">
        <v>0.9</v>
      </c>
      <c r="E2308" s="27">
        <v>0.8</v>
      </c>
      <c r="F2308" s="27">
        <v>0.5</v>
      </c>
      <c r="G2308" s="27"/>
      <c r="H2308" s="27"/>
      <c r="I2308" s="27" t="s">
        <v>275</v>
      </c>
    </row>
    <row r="2309" spans="1:16" ht="15.75" customHeight="1" x14ac:dyDescent="0.35">
      <c r="B2309" s="20"/>
      <c r="C2309" s="30"/>
      <c r="D2309" s="11"/>
      <c r="E2309" s="1"/>
      <c r="F2309" s="11"/>
      <c r="G2309" s="11"/>
      <c r="H2309" s="11"/>
      <c r="J2309" s="37"/>
      <c r="K2309" s="32"/>
      <c r="L2309" s="9"/>
      <c r="M2309" s="9"/>
    </row>
    <row r="2310" spans="1:16" ht="15.75" customHeight="1" x14ac:dyDescent="0.35">
      <c r="B2310" s="38"/>
      <c r="D2310" s="11"/>
      <c r="E2310" s="11"/>
      <c r="F2310" s="11"/>
      <c r="G2310" s="1" t="s">
        <v>404</v>
      </c>
      <c r="K2310" s="32"/>
      <c r="L2310" s="9"/>
      <c r="M2310" s="9"/>
    </row>
    <row r="2311" spans="1:16" ht="15.75" customHeight="1" x14ac:dyDescent="0.35">
      <c r="B2311" s="20"/>
      <c r="G2311" s="1"/>
      <c r="H2311" s="1"/>
      <c r="K2311" s="32"/>
      <c r="L2311" s="9"/>
      <c r="M2311" s="9"/>
    </row>
    <row r="2312" spans="1:16" ht="15.75" customHeight="1" x14ac:dyDescent="0.35">
      <c r="B2312" s="20"/>
      <c r="G2312" s="1"/>
      <c r="H2312" s="1"/>
      <c r="K2312" s="9" t="s">
        <v>254</v>
      </c>
      <c r="L2312" s="9"/>
      <c r="M2312" s="9"/>
    </row>
    <row r="2313" spans="1:16" ht="15.75" customHeight="1" x14ac:dyDescent="0.35">
      <c r="B2313" s="9"/>
      <c r="C2313" s="9"/>
      <c r="D2313" s="9"/>
      <c r="E2313" s="9"/>
      <c r="F2313" s="12"/>
      <c r="G2313" s="12"/>
      <c r="H2313" s="12"/>
      <c r="I2313" s="12"/>
      <c r="J2313" s="12"/>
      <c r="K2313" s="12"/>
      <c r="L2313" s="1"/>
    </row>
    <row r="2314" spans="1:16" ht="15.75" customHeight="1" x14ac:dyDescent="0.35">
      <c r="B2314" s="13"/>
      <c r="C2314" s="13"/>
      <c r="D2314" s="15"/>
      <c r="H2314" s="14" t="s">
        <v>255</v>
      </c>
    </row>
    <row r="2315" spans="1:16" x14ac:dyDescent="0.35">
      <c r="B2315" s="13" t="s">
        <v>5</v>
      </c>
      <c r="C2315" s="13" t="s">
        <v>1</v>
      </c>
      <c r="D2315" s="15" t="str">
        <f>VLOOKUP(A2316,Inventory!$A$4:$K$1139,7)</f>
        <v xml:space="preserve">Sweet Marias                       </v>
      </c>
      <c r="F2315" s="13" t="s">
        <v>235</v>
      </c>
      <c r="G2315" s="16"/>
      <c r="L2315" s="17"/>
      <c r="M2315" s="17"/>
    </row>
    <row r="2316" spans="1:16" x14ac:dyDescent="0.35">
      <c r="A2316">
        <v>158</v>
      </c>
      <c r="B2316" s="5">
        <v>44523</v>
      </c>
      <c r="C2316" s="15" t="str">
        <f>VLOOKUP(A2316,Inventory!$A$4:$K$1139,2)</f>
        <v>Ethiopia Organic Sidama Keramo 2020</v>
      </c>
      <c r="E2316" s="11"/>
      <c r="F2316" s="31" t="s">
        <v>291</v>
      </c>
      <c r="G2316" s="2" t="s">
        <v>286</v>
      </c>
      <c r="L2316" s="17"/>
      <c r="M2316" s="17"/>
      <c r="P2316" s="8"/>
    </row>
    <row r="2317" spans="1:16" x14ac:dyDescent="0.35">
      <c r="D2317" s="11"/>
      <c r="E2317" s="11"/>
      <c r="G2317" s="16"/>
      <c r="K2317" s="2" t="s">
        <v>428</v>
      </c>
      <c r="L2317" s="19"/>
      <c r="M2317" s="19"/>
    </row>
    <row r="2318" spans="1:16" x14ac:dyDescent="0.35">
      <c r="B2318" s="20"/>
      <c r="C2318" s="11" t="s">
        <v>240</v>
      </c>
      <c r="D2318" s="11" t="s">
        <v>272</v>
      </c>
      <c r="E2318" s="11" t="s">
        <v>429</v>
      </c>
      <c r="F2318" s="11">
        <v>366</v>
      </c>
      <c r="G2318" s="11">
        <v>374</v>
      </c>
      <c r="H2318" s="11">
        <v>383</v>
      </c>
      <c r="I2318" s="11"/>
      <c r="J2318" s="11"/>
      <c r="K2318" s="11"/>
      <c r="L2318" s="11"/>
    </row>
    <row r="2319" spans="1:16" ht="15.75" customHeight="1" x14ac:dyDescent="0.35">
      <c r="B2319" s="20" t="s">
        <v>242</v>
      </c>
      <c r="C2319" s="30"/>
      <c r="D2319" s="30"/>
      <c r="E2319" s="23" t="s">
        <v>244</v>
      </c>
      <c r="F2319" s="23" t="s">
        <v>245</v>
      </c>
      <c r="G2319" s="23" t="s">
        <v>246</v>
      </c>
      <c r="H2319" s="23" t="s">
        <v>247</v>
      </c>
      <c r="O2319" s="4"/>
    </row>
    <row r="2320" spans="1:16" ht="1" customHeight="1" x14ac:dyDescent="0.35">
      <c r="B2320" s="24" t="s">
        <v>249</v>
      </c>
      <c r="C2320" s="25"/>
      <c r="D2320" s="25"/>
      <c r="E2320" s="25"/>
      <c r="F2320" s="25"/>
      <c r="G2320" s="25"/>
      <c r="H2320" s="25"/>
      <c r="O2320" t="e">
        <f>(O2318-3*O2317)/O2319</f>
        <v>#DIV/0!</v>
      </c>
    </row>
    <row r="2321" spans="1:16" ht="15.75" customHeight="1" x14ac:dyDescent="0.35">
      <c r="B2321" s="20" t="s">
        <v>250</v>
      </c>
      <c r="C2321" s="26">
        <v>0.1875</v>
      </c>
      <c r="D2321" s="26">
        <v>0.27777777777777779</v>
      </c>
      <c r="E2321" s="26">
        <v>0.34375</v>
      </c>
      <c r="F2321" s="26">
        <f>E2321+'Lookup Tables'!$N$1</f>
        <v>0.36458333333333331</v>
      </c>
      <c r="G2321" s="26">
        <f>F2321+'Lookup Tables'!$N$1</f>
        <v>0.38541666666666663</v>
      </c>
      <c r="H2321" s="26">
        <f>G2321+'Lookup Tables'!$N$1</f>
        <v>0.40624999999999994</v>
      </c>
      <c r="N2321">
        <f>MAX(F2318:M2318)-O2321</f>
        <v>22</v>
      </c>
      <c r="O2321" t="str">
        <f>RIGHT(E2318,3)</f>
        <v>361</v>
      </c>
    </row>
    <row r="2322" spans="1:16" ht="15.75" customHeight="1" x14ac:dyDescent="0.35">
      <c r="B2322" s="20" t="s">
        <v>251</v>
      </c>
      <c r="C2322" s="27">
        <v>0.2</v>
      </c>
      <c r="D2322" s="27">
        <v>0.5</v>
      </c>
      <c r="E2322" s="27"/>
      <c r="F2322" s="27"/>
      <c r="G2322" s="27"/>
      <c r="H2322" s="27"/>
      <c r="N2322" t="str">
        <f xml:space="preserve">  N2321 &amp; " degrees this time"</f>
        <v>22 degrees this time</v>
      </c>
    </row>
    <row r="2323" spans="1:16" ht="15.75" customHeight="1" x14ac:dyDescent="0.35">
      <c r="B2323" s="20" t="s">
        <v>252</v>
      </c>
      <c r="C2323" s="27">
        <v>0.9</v>
      </c>
      <c r="D2323" s="27">
        <v>0.8</v>
      </c>
      <c r="E2323" s="27"/>
      <c r="F2323" s="27">
        <v>0.5</v>
      </c>
      <c r="G2323" s="27" t="s">
        <v>274</v>
      </c>
      <c r="H2323" s="27" t="s">
        <v>275</v>
      </c>
    </row>
    <row r="2324" spans="1:16" ht="15.75" customHeight="1" x14ac:dyDescent="0.35">
      <c r="B2324" s="20"/>
      <c r="F2324" s="1"/>
    </row>
    <row r="2325" spans="1:16" ht="15.75" customHeight="1" x14ac:dyDescent="0.35">
      <c r="B2325" s="20"/>
      <c r="G2325" s="1" t="s">
        <v>351</v>
      </c>
      <c r="K2325" s="32" t="s">
        <v>369</v>
      </c>
      <c r="L2325" s="9"/>
      <c r="M2325" s="9"/>
    </row>
    <row r="2326" spans="1:16" ht="15.75" customHeight="1" x14ac:dyDescent="0.35">
      <c r="B2326" s="20"/>
      <c r="G2326" s="1"/>
      <c r="H2326" s="1"/>
      <c r="K2326" s="32"/>
      <c r="L2326" s="9"/>
      <c r="M2326" s="9"/>
    </row>
    <row r="2327" spans="1:16" ht="15.75" customHeight="1" x14ac:dyDescent="0.35">
      <c r="B2327" s="20"/>
      <c r="G2327" s="1"/>
      <c r="H2327" s="1"/>
      <c r="K2327" s="9" t="s">
        <v>300</v>
      </c>
      <c r="L2327" s="9"/>
      <c r="M2327" s="9"/>
    </row>
    <row r="2328" spans="1:16" ht="15.75" customHeight="1" x14ac:dyDescent="0.35">
      <c r="B2328" s="9"/>
      <c r="C2328" s="9"/>
      <c r="D2328" s="9"/>
      <c r="E2328" s="9"/>
      <c r="F2328" s="12"/>
      <c r="G2328" s="12"/>
      <c r="H2328" s="12"/>
      <c r="I2328" s="12"/>
      <c r="J2328" s="12"/>
      <c r="K2328" s="12"/>
      <c r="L2328" s="1"/>
    </row>
    <row r="2329" spans="1:16" ht="15.75" customHeight="1" x14ac:dyDescent="0.35">
      <c r="B2329" s="13"/>
      <c r="C2329" s="13"/>
      <c r="D2329" s="15"/>
      <c r="F2329" s="33" t="s">
        <v>381</v>
      </c>
    </row>
    <row r="2330" spans="1:16" x14ac:dyDescent="0.35">
      <c r="B2330" s="13" t="s">
        <v>5</v>
      </c>
      <c r="C2330" s="13" t="s">
        <v>1</v>
      </c>
      <c r="D2330" s="15" t="str">
        <f>VLOOKUP(A2331,Inventory!$A$4:$K$1139,7)</f>
        <v xml:space="preserve">Roastmasters                       </v>
      </c>
      <c r="F2330" s="13" t="s">
        <v>235</v>
      </c>
      <c r="G2330" s="16"/>
      <c r="L2330" s="17"/>
      <c r="M2330" s="17"/>
    </row>
    <row r="2331" spans="1:16" x14ac:dyDescent="0.35">
      <c r="A2331">
        <v>150</v>
      </c>
      <c r="B2331" s="5">
        <v>44523</v>
      </c>
      <c r="C2331" s="15" t="str">
        <f>VLOOKUP(A2331,Inventory!$A$4:$K$1139,2)</f>
        <v>Ethiopia Yirgacheffe Reko 2018</v>
      </c>
      <c r="F2331" s="34" t="s">
        <v>279</v>
      </c>
      <c r="G2331" s="2" t="s">
        <v>286</v>
      </c>
      <c r="L2331" s="17"/>
      <c r="M2331" s="17"/>
      <c r="P2331" s="8"/>
    </row>
    <row r="2332" spans="1:16" x14ac:dyDescent="0.35">
      <c r="G2332" s="16"/>
      <c r="L2332" s="19"/>
      <c r="M2332" s="19"/>
    </row>
    <row r="2333" spans="1:16" x14ac:dyDescent="0.35">
      <c r="B2333" s="20"/>
      <c r="C2333" s="11" t="s">
        <v>240</v>
      </c>
      <c r="D2333" s="11" t="s">
        <v>241</v>
      </c>
      <c r="E2333" s="11" t="s">
        <v>430</v>
      </c>
      <c r="F2333" s="11">
        <v>375</v>
      </c>
      <c r="G2333" s="11">
        <v>381</v>
      </c>
      <c r="H2333" s="11">
        <v>389</v>
      </c>
      <c r="I2333" s="11">
        <v>394</v>
      </c>
      <c r="J2333" s="11">
        <v>396</v>
      </c>
      <c r="K2333" s="11"/>
      <c r="L2333" s="11"/>
    </row>
    <row r="2334" spans="1:16" ht="15.75" customHeight="1" x14ac:dyDescent="0.35">
      <c r="B2334" s="20" t="s">
        <v>242</v>
      </c>
      <c r="C2334" s="30"/>
      <c r="D2334" s="30"/>
      <c r="E2334" s="23" t="s">
        <v>244</v>
      </c>
      <c r="F2334" s="23" t="s">
        <v>245</v>
      </c>
      <c r="G2334" s="23" t="s">
        <v>246</v>
      </c>
      <c r="H2334" s="23" t="s">
        <v>247</v>
      </c>
      <c r="I2334" s="23" t="s">
        <v>248</v>
      </c>
      <c r="J2334" s="23" t="s">
        <v>259</v>
      </c>
      <c r="O2334" s="4"/>
    </row>
    <row r="2335" spans="1:16" ht="1" customHeight="1" x14ac:dyDescent="0.35">
      <c r="B2335" s="24" t="s">
        <v>249</v>
      </c>
      <c r="C2335" s="25"/>
      <c r="D2335" s="25"/>
      <c r="E2335" s="25"/>
      <c r="F2335" s="25"/>
      <c r="G2335" s="25"/>
      <c r="H2335" s="25"/>
      <c r="I2335" s="25"/>
      <c r="J2335" s="25"/>
      <c r="O2335" t="e">
        <f>(O2333-3*O2332)/O2334</f>
        <v>#DIV/0!</v>
      </c>
    </row>
    <row r="2336" spans="1:16" ht="15.75" customHeight="1" x14ac:dyDescent="0.35">
      <c r="B2336" s="20" t="s">
        <v>250</v>
      </c>
      <c r="C2336" s="26">
        <v>0.19791666666666666</v>
      </c>
      <c r="D2336" s="26">
        <v>0.27083333333333331</v>
      </c>
      <c r="E2336" s="26">
        <v>0.35069444444444442</v>
      </c>
      <c r="F2336" s="26">
        <f>E2336+'Lookup Tables'!$N$1</f>
        <v>0.37152777777777773</v>
      </c>
      <c r="G2336" s="26">
        <f>F2336+'Lookup Tables'!$N$1</f>
        <v>0.39236111111111105</v>
      </c>
      <c r="H2336" s="26">
        <f>G2336+'Lookup Tables'!$N$1</f>
        <v>0.41319444444444436</v>
      </c>
      <c r="I2336" s="26">
        <f>H2336+'Lookup Tables'!$S$1</f>
        <v>0.42361111111111105</v>
      </c>
      <c r="J2336" s="26">
        <f>I2336+'Lookup Tables'!$S$1</f>
        <v>0.43402777777777773</v>
      </c>
      <c r="N2336">
        <f>MAX(F2333:M2333)-O2336</f>
        <v>28</v>
      </c>
      <c r="O2336" t="str">
        <f>RIGHT(E2333,3)</f>
        <v>368</v>
      </c>
    </row>
    <row r="2337" spans="1:16" ht="15.75" customHeight="1" x14ac:dyDescent="0.35">
      <c r="B2337" s="20" t="s">
        <v>251</v>
      </c>
      <c r="C2337" s="27">
        <v>0.2</v>
      </c>
      <c r="D2337" s="27">
        <v>0.5</v>
      </c>
      <c r="E2337" s="27"/>
      <c r="F2337" s="27"/>
      <c r="G2337" s="27"/>
      <c r="H2337" s="25"/>
      <c r="I2337" s="27"/>
      <c r="J2337" s="27"/>
      <c r="N2337" t="str">
        <f xml:space="preserve">  N2336 &amp; " degrees this time"</f>
        <v>28 degrees this time</v>
      </c>
    </row>
    <row r="2338" spans="1:16" ht="15.75" customHeight="1" x14ac:dyDescent="0.35">
      <c r="B2338" s="20" t="s">
        <v>252</v>
      </c>
      <c r="C2338" s="27">
        <v>0.9</v>
      </c>
      <c r="D2338" s="27">
        <v>0.8</v>
      </c>
      <c r="E2338" s="27"/>
      <c r="F2338" s="27"/>
      <c r="G2338" s="27">
        <v>0.3</v>
      </c>
      <c r="H2338" s="27"/>
      <c r="I2338" s="27" t="s">
        <v>275</v>
      </c>
      <c r="J2338" s="27" t="s">
        <v>275</v>
      </c>
    </row>
    <row r="2339" spans="1:16" ht="15.75" customHeight="1" x14ac:dyDescent="0.35">
      <c r="B2339" s="20"/>
      <c r="C2339" s="30"/>
      <c r="D2339" s="11"/>
      <c r="E2339" s="1"/>
      <c r="F2339" s="11"/>
      <c r="G2339" s="11"/>
      <c r="H2339" s="11"/>
    </row>
    <row r="2340" spans="1:16" ht="15.75" customHeight="1" x14ac:dyDescent="0.35">
      <c r="B2340" s="38"/>
      <c r="D2340" s="11"/>
      <c r="E2340" s="11"/>
      <c r="F2340" s="11"/>
      <c r="G2340" s="1" t="s">
        <v>292</v>
      </c>
      <c r="K2340" s="9" t="s">
        <v>431</v>
      </c>
      <c r="L2340" s="9"/>
      <c r="M2340" s="9"/>
    </row>
    <row r="2341" spans="1:16" ht="15.75" customHeight="1" x14ac:dyDescent="0.35">
      <c r="B2341" s="20"/>
      <c r="G2341" s="1"/>
      <c r="H2341" s="1"/>
      <c r="K2341" s="9"/>
      <c r="L2341" s="9"/>
      <c r="M2341" s="9"/>
    </row>
    <row r="2342" spans="1:16" ht="15.75" customHeight="1" x14ac:dyDescent="0.35">
      <c r="B2342" s="20"/>
      <c r="G2342" s="1"/>
      <c r="H2342" s="1"/>
      <c r="K2342" s="9" t="s">
        <v>254</v>
      </c>
      <c r="L2342" s="9"/>
      <c r="M2342" s="9"/>
    </row>
    <row r="2343" spans="1:16" ht="15.75" customHeight="1" x14ac:dyDescent="0.35">
      <c r="B2343" s="9"/>
      <c r="C2343" s="9"/>
      <c r="D2343" s="9"/>
      <c r="E2343" s="9"/>
      <c r="F2343" s="12"/>
      <c r="G2343" s="12"/>
      <c r="H2343" s="12"/>
      <c r="I2343" s="12"/>
      <c r="J2343" s="12"/>
      <c r="K2343" s="12"/>
      <c r="L2343" s="1"/>
    </row>
    <row r="2344" spans="1:16" ht="15.75" customHeight="1" x14ac:dyDescent="0.35">
      <c r="B2344" s="13"/>
      <c r="C2344" s="13"/>
      <c r="D2344" s="15"/>
      <c r="G2344" s="16"/>
      <c r="H2344" s="14" t="s">
        <v>255</v>
      </c>
      <c r="I2344" s="14"/>
      <c r="L2344" s="2"/>
    </row>
    <row r="2345" spans="1:16" x14ac:dyDescent="0.35">
      <c r="B2345" s="13" t="s">
        <v>5</v>
      </c>
      <c r="C2345" s="13" t="s">
        <v>1</v>
      </c>
      <c r="D2345" s="15" t="str">
        <f>VLOOKUP(A2346,Inventory!$A$4:$K$1139,7)</f>
        <v>Royal coffee</v>
      </c>
      <c r="F2345" s="13" t="s">
        <v>235</v>
      </c>
      <c r="G2345" s="16"/>
      <c r="L2345" s="17"/>
      <c r="M2345" s="17"/>
    </row>
    <row r="2346" spans="1:16" x14ac:dyDescent="0.35">
      <c r="A2346">
        <v>141</v>
      </c>
      <c r="B2346" s="5">
        <v>44523</v>
      </c>
      <c r="C2346" s="15" t="str">
        <f>VLOOKUP(A2346,Inventory!$A$4:$K$1139,2)</f>
        <v>Yemen Al-Haymah Rooftop Raised Bed Natural 2017</v>
      </c>
      <c r="F2346" s="31" t="s">
        <v>291</v>
      </c>
      <c r="G2346" s="2" t="s">
        <v>286</v>
      </c>
      <c r="L2346" s="17"/>
      <c r="M2346" s="17"/>
      <c r="P2346" s="8"/>
    </row>
    <row r="2347" spans="1:16" x14ac:dyDescent="0.35">
      <c r="B2347" t="s">
        <v>16</v>
      </c>
      <c r="G2347" s="16"/>
      <c r="K2347" s="2" t="s">
        <v>428</v>
      </c>
      <c r="L2347" s="19"/>
      <c r="M2347" s="19"/>
    </row>
    <row r="2348" spans="1:16" x14ac:dyDescent="0.35">
      <c r="B2348" s="20"/>
      <c r="C2348" s="11" t="s">
        <v>240</v>
      </c>
      <c r="D2348" s="11" t="s">
        <v>272</v>
      </c>
      <c r="E2348" s="11" t="s">
        <v>430</v>
      </c>
      <c r="F2348" s="11">
        <v>376</v>
      </c>
      <c r="G2348" s="11">
        <v>384</v>
      </c>
      <c r="H2348" s="11">
        <v>389</v>
      </c>
      <c r="I2348" s="11">
        <v>391</v>
      </c>
      <c r="J2348" s="11"/>
      <c r="K2348" s="11"/>
      <c r="L2348" s="11"/>
    </row>
    <row r="2349" spans="1:16" ht="15.75" customHeight="1" x14ac:dyDescent="0.35">
      <c r="B2349" s="20" t="s">
        <v>242</v>
      </c>
      <c r="C2349" s="21"/>
      <c r="D2349" s="22" t="s">
        <v>294</v>
      </c>
      <c r="E2349" s="23" t="s">
        <v>244</v>
      </c>
      <c r="F2349" s="23" t="s">
        <v>245</v>
      </c>
      <c r="G2349" s="23" t="s">
        <v>246</v>
      </c>
      <c r="H2349" s="23" t="s">
        <v>273</v>
      </c>
      <c r="I2349" s="23" t="s">
        <v>247</v>
      </c>
      <c r="O2349" s="4"/>
    </row>
    <row r="2350" spans="1:16" ht="1" customHeight="1" x14ac:dyDescent="0.35">
      <c r="B2350" s="24" t="s">
        <v>249</v>
      </c>
      <c r="C2350" s="25">
        <v>320</v>
      </c>
      <c r="D2350" s="25">
        <v>350</v>
      </c>
      <c r="E2350" s="25"/>
      <c r="F2350" s="25"/>
      <c r="G2350" s="25"/>
      <c r="H2350" s="23" t="s">
        <v>247</v>
      </c>
      <c r="I2350" s="25"/>
      <c r="O2350" t="e">
        <f>(O2348-3*O2347)/O2349</f>
        <v>#DIV/0!</v>
      </c>
    </row>
    <row r="2351" spans="1:16" ht="15.75" customHeight="1" x14ac:dyDescent="0.35">
      <c r="B2351" s="20" t="s">
        <v>250</v>
      </c>
      <c r="C2351" s="26">
        <v>0.20138888888888887</v>
      </c>
      <c r="D2351" s="26">
        <v>0.2986111111111111</v>
      </c>
      <c r="E2351" s="26">
        <v>0.38194444444444442</v>
      </c>
      <c r="F2351" s="26">
        <f>E2351+'Lookup Tables'!$N$1</f>
        <v>0.40277777777777773</v>
      </c>
      <c r="G2351" s="26">
        <f>F2351+'Lookup Tables'!$N$1</f>
        <v>0.42361111111111105</v>
      </c>
      <c r="H2351" s="26">
        <f>G2351+'Lookup Tables'!$S$1</f>
        <v>0.43402777777777773</v>
      </c>
      <c r="I2351" s="26">
        <f>H2351+'Lookup Tables'!$S$1</f>
        <v>0.44444444444444442</v>
      </c>
      <c r="N2351">
        <f>MAX(F2348:M2348)-O2351</f>
        <v>23</v>
      </c>
      <c r="O2351" t="str">
        <f>RIGHT(E2348,3)</f>
        <v>368</v>
      </c>
    </row>
    <row r="2352" spans="1:16" ht="15.75" customHeight="1" x14ac:dyDescent="0.35">
      <c r="B2352" s="20" t="s">
        <v>251</v>
      </c>
      <c r="C2352" s="27">
        <v>0.2</v>
      </c>
      <c r="D2352" s="27">
        <v>0.5</v>
      </c>
      <c r="E2352" s="27"/>
      <c r="F2352" s="27"/>
      <c r="G2352" s="27">
        <v>0.25</v>
      </c>
      <c r="H2352" s="27"/>
      <c r="I2352" s="27"/>
      <c r="N2352" t="str">
        <f xml:space="preserve">  N2351 &amp; " degrees this time"</f>
        <v>23 degrees this time</v>
      </c>
    </row>
    <row r="2353" spans="1:16" ht="15.75" customHeight="1" x14ac:dyDescent="0.35">
      <c r="B2353" s="20" t="s">
        <v>252</v>
      </c>
      <c r="C2353" s="27">
        <v>0.9</v>
      </c>
      <c r="D2353" s="27">
        <v>0.7</v>
      </c>
      <c r="E2353" s="27">
        <v>0.6</v>
      </c>
      <c r="F2353" s="27"/>
      <c r="G2353" s="27"/>
      <c r="H2353" s="27"/>
      <c r="I2353" s="27" t="s">
        <v>275</v>
      </c>
    </row>
    <row r="2354" spans="1:16" ht="15.75" customHeight="1" x14ac:dyDescent="0.35">
      <c r="B2354" s="20"/>
      <c r="D2354" s="11"/>
      <c r="E2354" s="40"/>
      <c r="F2354" s="11"/>
      <c r="G2354" s="11"/>
    </row>
    <row r="2355" spans="1:16" ht="15.75" customHeight="1" x14ac:dyDescent="0.35">
      <c r="B2355" s="38"/>
      <c r="D2355" s="15"/>
      <c r="F2355" s="13"/>
      <c r="G2355" s="1" t="s">
        <v>296</v>
      </c>
      <c r="K2355" s="32" t="s">
        <v>377</v>
      </c>
      <c r="L2355" s="9"/>
      <c r="M2355" s="9"/>
    </row>
    <row r="2356" spans="1:16" ht="15.75" customHeight="1" x14ac:dyDescent="0.35">
      <c r="B2356" s="20"/>
      <c r="G2356" s="1"/>
      <c r="H2356" s="1"/>
      <c r="K2356" s="9"/>
      <c r="L2356" s="9"/>
      <c r="M2356" s="9"/>
    </row>
    <row r="2357" spans="1:16" ht="15.75" customHeight="1" x14ac:dyDescent="0.35">
      <c r="B2357" s="20"/>
      <c r="G2357" s="1"/>
      <c r="H2357" s="1"/>
      <c r="K2357" s="9" t="s">
        <v>297</v>
      </c>
      <c r="L2357" s="9"/>
      <c r="M2357" s="9"/>
    </row>
    <row r="2358" spans="1:16" ht="15.75" customHeight="1" x14ac:dyDescent="0.35">
      <c r="B2358" s="9"/>
      <c r="C2358" s="9"/>
      <c r="D2358" s="9"/>
      <c r="E2358" s="9"/>
      <c r="F2358" s="12"/>
      <c r="G2358" s="12"/>
      <c r="H2358" s="12"/>
      <c r="I2358" s="12"/>
      <c r="J2358" s="12"/>
      <c r="K2358" s="12"/>
      <c r="L2358" s="1"/>
    </row>
    <row r="2359" spans="1:16" ht="15.75" customHeight="1" x14ac:dyDescent="0.35">
      <c r="B2359" s="13"/>
      <c r="C2359" s="13"/>
      <c r="D2359" s="13"/>
      <c r="E2359" s="13"/>
      <c r="F2359" s="13"/>
      <c r="G2359" s="13"/>
      <c r="I2359" s="14"/>
    </row>
    <row r="2360" spans="1:16" x14ac:dyDescent="0.35">
      <c r="B2360" s="13" t="s">
        <v>5</v>
      </c>
      <c r="C2360" s="13" t="s">
        <v>1</v>
      </c>
      <c r="D2360" s="15" t="str">
        <f>VLOOKUP(A2361,Inventory!$A$4:$K$1139,7)</f>
        <v xml:space="preserve">GCBC                               </v>
      </c>
      <c r="F2360" s="13" t="s">
        <v>235</v>
      </c>
      <c r="G2360" s="16"/>
      <c r="H2360" s="14" t="s">
        <v>236</v>
      </c>
      <c r="L2360" s="17"/>
      <c r="M2360" s="17"/>
    </row>
    <row r="2361" spans="1:16" x14ac:dyDescent="0.35">
      <c r="A2361">
        <v>155</v>
      </c>
      <c r="B2361" s="5">
        <v>44518</v>
      </c>
      <c r="C2361" s="15" t="str">
        <f>VLOOKUP(A2361,Inventory!$A$4:$K$1139,2)</f>
        <v>Organic Ethiopian Sidamo 2019 WP Decaf</v>
      </c>
      <c r="F2361" s="18" t="s">
        <v>237</v>
      </c>
      <c r="G2361" s="2" t="s">
        <v>238</v>
      </c>
      <c r="L2361" s="17"/>
      <c r="M2361" s="17"/>
      <c r="P2361" s="8"/>
    </row>
    <row r="2362" spans="1:16" x14ac:dyDescent="0.35">
      <c r="J2362" s="1" t="s">
        <v>16</v>
      </c>
      <c r="L2362" s="19"/>
      <c r="M2362" s="19"/>
    </row>
    <row r="2363" spans="1:16" x14ac:dyDescent="0.35">
      <c r="C2363" s="11" t="s">
        <v>240</v>
      </c>
      <c r="D2363" s="11" t="s">
        <v>241</v>
      </c>
      <c r="E2363" s="11" t="s">
        <v>432</v>
      </c>
      <c r="F2363" s="11">
        <v>370</v>
      </c>
      <c r="G2363" s="11">
        <v>376</v>
      </c>
      <c r="H2363" s="11">
        <v>381</v>
      </c>
      <c r="I2363" s="11">
        <v>388</v>
      </c>
      <c r="J2363" s="11">
        <v>390</v>
      </c>
      <c r="K2363" s="11"/>
      <c r="L2363" s="11"/>
    </row>
    <row r="2364" spans="1:16" ht="15.75" customHeight="1" x14ac:dyDescent="0.35">
      <c r="B2364" s="20" t="s">
        <v>242</v>
      </c>
      <c r="C2364" s="30"/>
      <c r="D2364" s="22" t="s">
        <v>433</v>
      </c>
      <c r="E2364" s="23" t="s">
        <v>244</v>
      </c>
      <c r="F2364" s="23" t="s">
        <v>245</v>
      </c>
      <c r="G2364" s="23" t="s">
        <v>246</v>
      </c>
      <c r="H2364" s="23" t="s">
        <v>247</v>
      </c>
      <c r="I2364" s="23" t="s">
        <v>259</v>
      </c>
      <c r="J2364" s="23" t="s">
        <v>260</v>
      </c>
      <c r="K2364" s="23" t="s">
        <v>261</v>
      </c>
      <c r="O2364" s="4"/>
    </row>
    <row r="2365" spans="1:16" ht="1" customHeight="1" x14ac:dyDescent="0.35">
      <c r="B2365" s="24" t="s">
        <v>249</v>
      </c>
      <c r="C2365" s="25">
        <v>320</v>
      </c>
      <c r="D2365" s="25">
        <v>350</v>
      </c>
      <c r="E2365" s="25">
        <v>377</v>
      </c>
      <c r="F2365" s="25">
        <v>384</v>
      </c>
      <c r="G2365" s="25">
        <v>388</v>
      </c>
      <c r="H2365" s="25">
        <v>392</v>
      </c>
      <c r="I2365" s="25">
        <v>395</v>
      </c>
      <c r="J2365" s="25">
        <v>415</v>
      </c>
      <c r="K2365" s="25">
        <v>415</v>
      </c>
      <c r="O2365" t="e">
        <f>(O2363-3*O2362)/O2364</f>
        <v>#DIV/0!</v>
      </c>
    </row>
    <row r="2366" spans="1:16" ht="15.75" customHeight="1" x14ac:dyDescent="0.35">
      <c r="B2366" s="20" t="s">
        <v>250</v>
      </c>
      <c r="C2366" s="26">
        <v>0.24305555555555555</v>
      </c>
      <c r="D2366" s="26">
        <v>0.30902777777777779</v>
      </c>
      <c r="E2366" s="26">
        <v>0.38194444444444442</v>
      </c>
      <c r="F2366" s="26">
        <f>E2366+'Lookup Tables'!$N$1</f>
        <v>0.40277777777777773</v>
      </c>
      <c r="G2366" s="26">
        <f>F2366+'Lookup Tables'!$N$1</f>
        <v>0.42361111111111105</v>
      </c>
      <c r="H2366" s="26">
        <f>G2366+'Lookup Tables'!$N$1</f>
        <v>0.44444444444444436</v>
      </c>
      <c r="I2366" s="26">
        <f>H2366+'Lookup Tables'!$N$1</f>
        <v>0.46527777777777768</v>
      </c>
      <c r="J2366" s="26">
        <f>I2366+'Lookup Tables'!$M$1</f>
        <v>0.47569444444444436</v>
      </c>
      <c r="K2366" s="26">
        <f>J2366+'Lookup Tables'!$M$1</f>
        <v>0.48611111111111105</v>
      </c>
      <c r="N2366">
        <f>MAX(F2363:M2363)-O2366</f>
        <v>27</v>
      </c>
      <c r="O2366" t="str">
        <f>RIGHT(E2363,3)</f>
        <v>363</v>
      </c>
    </row>
    <row r="2367" spans="1:16" ht="15.75" customHeight="1" x14ac:dyDescent="0.35">
      <c r="B2367" s="20" t="s">
        <v>251</v>
      </c>
      <c r="C2367" s="27">
        <v>0.2</v>
      </c>
      <c r="D2367" s="27">
        <v>0.5</v>
      </c>
      <c r="E2367" s="27"/>
      <c r="F2367" s="27"/>
      <c r="G2367" s="27"/>
      <c r="H2367" s="27"/>
      <c r="I2367" s="27"/>
      <c r="J2367" s="27"/>
      <c r="K2367" s="27"/>
      <c r="N2367" t="str">
        <f xml:space="preserve">  N2366 &amp; " degrees this time"</f>
        <v>27 degrees this time</v>
      </c>
    </row>
    <row r="2368" spans="1:16" ht="15.75" customHeight="1" x14ac:dyDescent="0.35">
      <c r="B2368" s="20" t="s">
        <v>252</v>
      </c>
      <c r="C2368" s="27">
        <v>0.9</v>
      </c>
      <c r="D2368" s="27">
        <v>0.7</v>
      </c>
      <c r="E2368" s="27">
        <v>0.6</v>
      </c>
      <c r="F2368" s="27"/>
      <c r="G2368" s="27"/>
      <c r="H2368" s="27"/>
      <c r="I2368" s="27"/>
      <c r="J2368" s="27"/>
      <c r="K2368" s="27"/>
    </row>
    <row r="2369" spans="1:16" ht="15.75" customHeight="1" x14ac:dyDescent="0.35">
      <c r="B2369" s="20"/>
      <c r="D2369" s="11"/>
      <c r="E2369" s="11"/>
      <c r="F2369" s="28"/>
      <c r="H2369" s="1"/>
      <c r="I2369" s="1"/>
    </row>
    <row r="2370" spans="1:16" ht="15.75" customHeight="1" x14ac:dyDescent="0.35">
      <c r="G2370" s="1" t="s">
        <v>383</v>
      </c>
      <c r="K2370" s="9"/>
      <c r="L2370" s="9"/>
      <c r="M2370" s="9"/>
    </row>
    <row r="2371" spans="1:16" ht="15.75" customHeight="1" x14ac:dyDescent="0.35">
      <c r="B2371" s="20"/>
      <c r="G2371" s="1"/>
      <c r="H2371" s="1"/>
      <c r="K2371" s="9"/>
      <c r="L2371" s="9"/>
      <c r="M2371" s="9"/>
    </row>
    <row r="2372" spans="1:16" ht="15.75" customHeight="1" x14ac:dyDescent="0.35">
      <c r="B2372" s="20"/>
      <c r="G2372" s="1"/>
      <c r="H2372" s="1"/>
      <c r="K2372" s="9" t="s">
        <v>254</v>
      </c>
      <c r="L2372" s="9"/>
      <c r="M2372" s="9"/>
    </row>
    <row r="2373" spans="1:16" ht="15.75" customHeight="1" x14ac:dyDescent="0.35">
      <c r="B2373" s="9"/>
      <c r="C2373" s="9"/>
      <c r="D2373" s="9"/>
      <c r="E2373" s="9"/>
      <c r="F2373" s="12"/>
      <c r="G2373" s="12"/>
      <c r="H2373" s="12"/>
      <c r="I2373" s="12"/>
      <c r="J2373" s="12"/>
      <c r="K2373" s="12"/>
      <c r="L2373" s="1"/>
    </row>
    <row r="2374" spans="1:16" ht="15.75" customHeight="1" x14ac:dyDescent="0.35">
      <c r="B2374" s="13"/>
      <c r="C2374" s="13"/>
      <c r="D2374" s="15"/>
      <c r="F2374" s="33" t="s">
        <v>381</v>
      </c>
      <c r="H2374" s="14" t="s">
        <v>255</v>
      </c>
      <c r="I2374" s="14"/>
    </row>
    <row r="2375" spans="1:16" x14ac:dyDescent="0.35">
      <c r="B2375" s="13" t="s">
        <v>5</v>
      </c>
      <c r="C2375" s="13" t="s">
        <v>1</v>
      </c>
      <c r="D2375" s="15" t="str">
        <f>VLOOKUP(A2376,Inventory!$A$4:$K$1139,7)</f>
        <v xml:space="preserve">GCBC                               </v>
      </c>
      <c r="F2375" s="13" t="s">
        <v>235</v>
      </c>
      <c r="G2375" s="16"/>
      <c r="H2375" s="14" t="s">
        <v>256</v>
      </c>
      <c r="L2375" s="17"/>
      <c r="M2375" s="17"/>
    </row>
    <row r="2376" spans="1:16" x14ac:dyDescent="0.35">
      <c r="A2376">
        <v>155</v>
      </c>
      <c r="B2376" s="5">
        <v>44518</v>
      </c>
      <c r="C2376" s="15" t="str">
        <f>VLOOKUP(A2376,Inventory!$A$4:$K$1139,2)</f>
        <v>Organic Ethiopian Sidamo 2019 WP Decaf</v>
      </c>
      <c r="F2376" s="18" t="s">
        <v>257</v>
      </c>
      <c r="G2376" s="2" t="s">
        <v>238</v>
      </c>
      <c r="L2376" s="17"/>
      <c r="M2376" s="17"/>
      <c r="P2376" s="8"/>
    </row>
    <row r="2377" spans="1:16" x14ac:dyDescent="0.35">
      <c r="L2377" s="19"/>
      <c r="M2377" s="19"/>
    </row>
    <row r="2378" spans="1:16" x14ac:dyDescent="0.35">
      <c r="C2378" s="11" t="s">
        <v>240</v>
      </c>
      <c r="D2378" s="11" t="s">
        <v>241</v>
      </c>
      <c r="E2378" s="11" t="s">
        <v>432</v>
      </c>
      <c r="F2378" s="11">
        <v>372</v>
      </c>
      <c r="G2378" s="11">
        <v>379</v>
      </c>
      <c r="H2378" s="11">
        <v>388</v>
      </c>
      <c r="I2378" s="11"/>
      <c r="J2378" s="11"/>
      <c r="K2378" s="11"/>
      <c r="L2378" s="11"/>
    </row>
    <row r="2379" spans="1:16" ht="15.75" customHeight="1" x14ac:dyDescent="0.35">
      <c r="B2379" s="20" t="s">
        <v>242</v>
      </c>
      <c r="C2379" s="30"/>
      <c r="D2379" s="30"/>
      <c r="E2379" s="23" t="s">
        <v>244</v>
      </c>
      <c r="F2379" s="23" t="s">
        <v>245</v>
      </c>
      <c r="G2379" s="23" t="s">
        <v>246</v>
      </c>
      <c r="H2379" s="23" t="s">
        <v>247</v>
      </c>
      <c r="I2379" s="23" t="s">
        <v>259</v>
      </c>
      <c r="J2379" s="23" t="s">
        <v>260</v>
      </c>
      <c r="K2379" s="23" t="s">
        <v>261</v>
      </c>
      <c r="O2379" s="4"/>
    </row>
    <row r="2380" spans="1:16" ht="1" customHeight="1" x14ac:dyDescent="0.35">
      <c r="B2380" s="24" t="s">
        <v>249</v>
      </c>
      <c r="C2380" s="25">
        <v>320</v>
      </c>
      <c r="D2380" s="25">
        <v>350</v>
      </c>
      <c r="E2380" s="25">
        <v>377</v>
      </c>
      <c r="F2380" s="25">
        <v>384</v>
      </c>
      <c r="G2380" s="25">
        <v>388</v>
      </c>
      <c r="H2380" s="25">
        <v>392</v>
      </c>
      <c r="I2380" s="25">
        <v>395</v>
      </c>
      <c r="J2380" s="25">
        <v>415</v>
      </c>
      <c r="K2380" s="25">
        <v>415</v>
      </c>
      <c r="O2380" t="e">
        <f>(O2378-3*O2377)/O2379</f>
        <v>#DIV/0!</v>
      </c>
    </row>
    <row r="2381" spans="1:16" ht="15.75" customHeight="1" x14ac:dyDescent="0.35">
      <c r="B2381" s="20" t="s">
        <v>250</v>
      </c>
      <c r="C2381" s="26">
        <v>0.22916666666666666</v>
      </c>
      <c r="D2381" s="26">
        <v>0.30555555555555552</v>
      </c>
      <c r="E2381" s="26">
        <v>0.40625</v>
      </c>
      <c r="F2381" s="26">
        <f>E2381+'Lookup Tables'!$N$1</f>
        <v>0.42708333333333331</v>
      </c>
      <c r="G2381" s="26">
        <f>F2381+'Lookup Tables'!$N$1</f>
        <v>0.44791666666666663</v>
      </c>
      <c r="H2381" s="26">
        <f>G2381+'Lookup Tables'!$N$1</f>
        <v>0.46874999999999994</v>
      </c>
      <c r="I2381" s="26">
        <f>H2381+'Lookup Tables'!$N$1</f>
        <v>0.48958333333333326</v>
      </c>
      <c r="J2381" s="26">
        <f>I2381+'Lookup Tables'!$M$1</f>
        <v>0.49999999999999994</v>
      </c>
      <c r="K2381" s="26">
        <f>J2381+'Lookup Tables'!$M$1</f>
        <v>0.51041666666666663</v>
      </c>
      <c r="N2381">
        <f>MAX(F2378:M2378)-O2381</f>
        <v>25</v>
      </c>
      <c r="O2381" t="str">
        <f>RIGHT(E2378,3)</f>
        <v>363</v>
      </c>
    </row>
    <row r="2382" spans="1:16" ht="15.75" customHeight="1" x14ac:dyDescent="0.35">
      <c r="B2382" s="20" t="s">
        <v>251</v>
      </c>
      <c r="C2382" s="27">
        <v>0.2</v>
      </c>
      <c r="D2382" s="27">
        <v>0.5</v>
      </c>
      <c r="E2382" s="27"/>
      <c r="F2382" s="27"/>
      <c r="G2382" s="27"/>
      <c r="H2382" s="27"/>
      <c r="I2382" s="27"/>
      <c r="J2382" s="27"/>
      <c r="K2382" s="25"/>
      <c r="N2382" t="str">
        <f xml:space="preserve">  N2381 &amp; " degrees this time"</f>
        <v>25 degrees this time</v>
      </c>
    </row>
    <row r="2383" spans="1:16" ht="15.75" customHeight="1" x14ac:dyDescent="0.35">
      <c r="B2383" s="20" t="s">
        <v>252</v>
      </c>
      <c r="C2383" s="27">
        <v>0.9</v>
      </c>
      <c r="D2383" s="27">
        <v>0.7</v>
      </c>
      <c r="E2383" s="27">
        <v>0.6</v>
      </c>
      <c r="F2383" s="27"/>
      <c r="G2383" s="27"/>
      <c r="H2383" s="27"/>
      <c r="I2383" s="27"/>
      <c r="J2383" s="27"/>
      <c r="K2383" s="27"/>
    </row>
    <row r="2384" spans="1:16" ht="15.75" customHeight="1" x14ac:dyDescent="0.35">
      <c r="B2384" s="20"/>
      <c r="D2384" s="11"/>
      <c r="E2384" s="11"/>
      <c r="F2384" s="28"/>
      <c r="H2384" s="1"/>
    </row>
    <row r="2385" spans="1:16" ht="15.75" customHeight="1" x14ac:dyDescent="0.35">
      <c r="B2385" s="1" t="s">
        <v>385</v>
      </c>
      <c r="F2385" t="s">
        <v>263</v>
      </c>
      <c r="G2385" s="1"/>
      <c r="K2385" s="9"/>
      <c r="L2385" s="9"/>
      <c r="M2385" s="9"/>
    </row>
    <row r="2386" spans="1:16" ht="15.75" customHeight="1" x14ac:dyDescent="0.35">
      <c r="B2386" s="20" t="s">
        <v>264</v>
      </c>
      <c r="D2386" s="29"/>
      <c r="F2386" t="s">
        <v>265</v>
      </c>
      <c r="G2386" s="1"/>
      <c r="H2386" s="1"/>
      <c r="K2386" s="9" t="s">
        <v>386</v>
      </c>
      <c r="L2386" s="9"/>
      <c r="M2386" s="9"/>
    </row>
    <row r="2387" spans="1:16" ht="15.75" customHeight="1" x14ac:dyDescent="0.35">
      <c r="B2387" s="20" t="s">
        <v>267</v>
      </c>
      <c r="F2387" t="s">
        <v>268</v>
      </c>
      <c r="G2387" s="1"/>
      <c r="H2387" s="1"/>
      <c r="K2387" s="9" t="s">
        <v>254</v>
      </c>
      <c r="L2387" s="9"/>
      <c r="M2387" s="9"/>
    </row>
    <row r="2388" spans="1:16" ht="15.75" customHeight="1" x14ac:dyDescent="0.35">
      <c r="B2388" s="9"/>
      <c r="C2388" s="9"/>
      <c r="D2388" s="9"/>
      <c r="E2388" s="9"/>
      <c r="F2388" s="12"/>
      <c r="G2388" s="12"/>
      <c r="H2388" s="12"/>
      <c r="I2388" s="12"/>
      <c r="J2388" s="12"/>
      <c r="K2388" s="12"/>
      <c r="L2388" s="1"/>
    </row>
    <row r="2389" spans="1:16" ht="15.75" customHeight="1" x14ac:dyDescent="0.35">
      <c r="B2389" s="13"/>
      <c r="C2389" s="13"/>
      <c r="D2389" s="15"/>
      <c r="F2389" s="33" t="s">
        <v>350</v>
      </c>
      <c r="G2389" s="15"/>
      <c r="H2389" s="14" t="s">
        <v>255</v>
      </c>
      <c r="I2389" s="1"/>
      <c r="J2389" s="2"/>
      <c r="K2389" s="2"/>
      <c r="L2389" s="8"/>
    </row>
    <row r="2390" spans="1:16" x14ac:dyDescent="0.35">
      <c r="B2390" s="13" t="s">
        <v>5</v>
      </c>
      <c r="C2390" s="13" t="s">
        <v>1</v>
      </c>
      <c r="D2390" s="15" t="str">
        <f>VLOOKUP(A2391,Inventory!$A$4:$K$1139,7)</f>
        <v xml:space="preserve">Klatch                             </v>
      </c>
      <c r="F2390" s="13" t="s">
        <v>235</v>
      </c>
      <c r="G2390" s="16"/>
      <c r="L2390" s="8"/>
      <c r="M2390" s="17"/>
    </row>
    <row r="2391" spans="1:16" x14ac:dyDescent="0.35">
      <c r="A2391">
        <v>167</v>
      </c>
      <c r="B2391" s="5">
        <v>44507</v>
      </c>
      <c r="C2391" s="15" t="str">
        <f>VLOOKUP(A2391,Inventory!$A$4:$K$1139,2)</f>
        <v>Uganda Sipi Falls Organic 2020</v>
      </c>
      <c r="E2391" s="11"/>
      <c r="F2391" s="31" t="s">
        <v>291</v>
      </c>
      <c r="G2391" s="2" t="s">
        <v>286</v>
      </c>
      <c r="M2391" s="17"/>
      <c r="P2391" s="8"/>
    </row>
    <row r="2392" spans="1:16" x14ac:dyDescent="0.35">
      <c r="D2392" s="11"/>
      <c r="E2392" s="11"/>
      <c r="G2392" s="16"/>
      <c r="L2392" s="19"/>
      <c r="M2392" s="19"/>
    </row>
    <row r="2393" spans="1:16" x14ac:dyDescent="0.35">
      <c r="B2393" s="20"/>
      <c r="C2393" s="11" t="s">
        <v>240</v>
      </c>
      <c r="D2393" s="11" t="s">
        <v>241</v>
      </c>
      <c r="E2393" s="11" t="s">
        <v>427</v>
      </c>
      <c r="F2393" s="11">
        <v>375</v>
      </c>
      <c r="G2393" s="11">
        <v>381</v>
      </c>
      <c r="H2393" s="11">
        <v>392</v>
      </c>
      <c r="I2393" s="11">
        <v>399</v>
      </c>
      <c r="J2393" s="11"/>
      <c r="K2393" s="11"/>
      <c r="L2393" s="11"/>
    </row>
    <row r="2394" spans="1:16" ht="15.75" customHeight="1" x14ac:dyDescent="0.35">
      <c r="B2394" s="20" t="s">
        <v>242</v>
      </c>
      <c r="C2394" s="30"/>
      <c r="D2394" s="30"/>
      <c r="E2394" s="23" t="s">
        <v>244</v>
      </c>
      <c r="F2394" s="23" t="s">
        <v>245</v>
      </c>
      <c r="G2394" s="23" t="s">
        <v>246</v>
      </c>
      <c r="H2394" s="23" t="s">
        <v>247</v>
      </c>
      <c r="I2394" s="23" t="s">
        <v>259</v>
      </c>
      <c r="O2394" s="4"/>
    </row>
    <row r="2395" spans="1:16" ht="1" customHeight="1" x14ac:dyDescent="0.35">
      <c r="B2395" s="24" t="s">
        <v>249</v>
      </c>
      <c r="C2395" s="25"/>
      <c r="D2395" s="25"/>
      <c r="E2395" s="25"/>
      <c r="F2395" s="25"/>
      <c r="G2395" s="25"/>
      <c r="H2395" s="25"/>
      <c r="I2395" s="25"/>
      <c r="O2395" t="e">
        <f>(O2393-3*O2392)/O2394</f>
        <v>#DIV/0!</v>
      </c>
    </row>
    <row r="2396" spans="1:16" ht="15.75" customHeight="1" x14ac:dyDescent="0.35">
      <c r="B2396" s="20" t="s">
        <v>250</v>
      </c>
      <c r="C2396" s="26">
        <v>0.19791666666666666</v>
      </c>
      <c r="D2396" s="26">
        <v>0.27777777777777779</v>
      </c>
      <c r="E2396" s="26">
        <v>0.36805555555555558</v>
      </c>
      <c r="F2396" s="26">
        <f>E2396+'Lookup Tables'!$N$1</f>
        <v>0.3888888888888889</v>
      </c>
      <c r="G2396" s="26">
        <f>F2396+'Lookup Tables'!$N$1</f>
        <v>0.40972222222222221</v>
      </c>
      <c r="H2396" s="26">
        <f>G2396+'Lookup Tables'!$N$1</f>
        <v>0.43055555555555552</v>
      </c>
      <c r="I2396" s="26">
        <f>H2396+'Lookup Tables'!$N$1</f>
        <v>0.45138888888888884</v>
      </c>
      <c r="N2396">
        <f>MAX(F2393:M2393)-O2396</f>
        <v>33</v>
      </c>
      <c r="O2396" t="str">
        <f>RIGHT(E2393,3)</f>
        <v>366</v>
      </c>
    </row>
    <row r="2397" spans="1:16" ht="15.75" customHeight="1" x14ac:dyDescent="0.35">
      <c r="B2397" s="20" t="s">
        <v>251</v>
      </c>
      <c r="C2397" s="27">
        <v>0.2</v>
      </c>
      <c r="D2397" s="27">
        <v>0.5</v>
      </c>
      <c r="E2397" s="27"/>
      <c r="F2397" s="27"/>
      <c r="G2397" s="27" t="s">
        <v>274</v>
      </c>
      <c r="H2397" s="25"/>
      <c r="I2397" s="27"/>
      <c r="N2397" t="str">
        <f xml:space="preserve">  N2396 &amp; " degrees this time"</f>
        <v>33 degrees this time</v>
      </c>
    </row>
    <row r="2398" spans="1:16" ht="15.75" customHeight="1" x14ac:dyDescent="0.35">
      <c r="B2398" s="20" t="s">
        <v>252</v>
      </c>
      <c r="C2398" s="27">
        <v>0.9</v>
      </c>
      <c r="D2398" s="27">
        <v>0.8</v>
      </c>
      <c r="E2398" s="27"/>
      <c r="F2398" s="27">
        <v>0.4</v>
      </c>
      <c r="G2398" s="27" t="s">
        <v>274</v>
      </c>
      <c r="H2398" s="27"/>
      <c r="I2398" s="27" t="s">
        <v>275</v>
      </c>
    </row>
    <row r="2399" spans="1:16" ht="15.75" customHeight="1" x14ac:dyDescent="0.35">
      <c r="B2399" s="20"/>
      <c r="D2399" s="11"/>
      <c r="E2399" s="11"/>
      <c r="F2399" s="11"/>
      <c r="H2399" s="35"/>
    </row>
    <row r="2400" spans="1:16" ht="15.75" customHeight="1" x14ac:dyDescent="0.35">
      <c r="B2400" s="20"/>
      <c r="G2400" s="1" t="s">
        <v>434</v>
      </c>
      <c r="K2400" s="32" t="s">
        <v>435</v>
      </c>
      <c r="L2400" s="9"/>
      <c r="M2400" s="9"/>
    </row>
    <row r="2401" spans="1:16" ht="15.75" customHeight="1" x14ac:dyDescent="0.35">
      <c r="B2401" s="20"/>
      <c r="G2401" s="1"/>
      <c r="H2401" s="1"/>
      <c r="K2401" s="32" t="s">
        <v>436</v>
      </c>
      <c r="L2401" s="9"/>
      <c r="M2401" s="9"/>
    </row>
    <row r="2402" spans="1:16" ht="15.75" customHeight="1" x14ac:dyDescent="0.35">
      <c r="B2402" s="20"/>
      <c r="G2402" s="1"/>
      <c r="H2402" s="1"/>
      <c r="K2402" s="9" t="s">
        <v>300</v>
      </c>
      <c r="L2402" s="9"/>
      <c r="M2402" s="9"/>
    </row>
    <row r="2403" spans="1:16" ht="15.75" customHeight="1" x14ac:dyDescent="0.35">
      <c r="B2403" s="9"/>
      <c r="C2403" s="9"/>
      <c r="D2403" s="9"/>
      <c r="E2403" s="9"/>
      <c r="F2403" s="12"/>
      <c r="G2403" s="12"/>
      <c r="H2403" s="12"/>
      <c r="I2403" s="12"/>
      <c r="J2403" s="12"/>
      <c r="K2403" s="12"/>
      <c r="L2403" s="1"/>
    </row>
    <row r="2404" spans="1:16" ht="15.75" customHeight="1" x14ac:dyDescent="0.35">
      <c r="B2404" s="13"/>
      <c r="C2404" s="13"/>
      <c r="D2404" s="13"/>
      <c r="E2404" s="13"/>
      <c r="F2404" s="13"/>
      <c r="G2404" s="13"/>
      <c r="I2404" s="13"/>
    </row>
    <row r="2405" spans="1:16" x14ac:dyDescent="0.35">
      <c r="B2405" s="13" t="s">
        <v>5</v>
      </c>
      <c r="C2405" s="13" t="s">
        <v>1</v>
      </c>
      <c r="D2405" s="15" t="str">
        <f>VLOOKUP(A2406,Inventory!$A$4:$K$1139,7)</f>
        <v xml:space="preserve">Klatch                             </v>
      </c>
      <c r="F2405" s="13" t="s">
        <v>235</v>
      </c>
      <c r="G2405" s="16"/>
      <c r="L2405" s="17"/>
      <c r="M2405" s="17"/>
    </row>
    <row r="2406" spans="1:16" x14ac:dyDescent="0.35">
      <c r="A2406">
        <v>161</v>
      </c>
      <c r="B2406" s="5">
        <v>44507</v>
      </c>
      <c r="C2406" s="15" t="str">
        <f>VLOOKUP(A2406,Inventory!$A$4:$K$1139,2)</f>
        <v>Colombia Nariño Organic 2020</v>
      </c>
      <c r="E2406" s="11"/>
      <c r="F2406" s="34" t="s">
        <v>279</v>
      </c>
      <c r="G2406" s="2" t="s">
        <v>286</v>
      </c>
      <c r="L2406" s="17"/>
      <c r="M2406" s="17"/>
      <c r="P2406" s="8"/>
    </row>
    <row r="2407" spans="1:16" x14ac:dyDescent="0.35">
      <c r="D2407" s="11"/>
      <c r="E2407" s="11"/>
      <c r="G2407" s="16"/>
      <c r="L2407" s="19"/>
      <c r="M2407" s="19"/>
    </row>
    <row r="2408" spans="1:16" x14ac:dyDescent="0.35">
      <c r="B2408" s="20"/>
      <c r="C2408" s="11" t="s">
        <v>240</v>
      </c>
      <c r="D2408" s="11" t="s">
        <v>272</v>
      </c>
      <c r="E2408" s="11" t="s">
        <v>427</v>
      </c>
      <c r="F2408" s="11">
        <v>375</v>
      </c>
      <c r="G2408" s="11">
        <v>381</v>
      </c>
      <c r="H2408" s="11">
        <v>389</v>
      </c>
      <c r="I2408" s="11">
        <v>394</v>
      </c>
      <c r="J2408" s="11" t="s">
        <v>373</v>
      </c>
      <c r="K2408" s="11"/>
      <c r="L2408" s="11"/>
    </row>
    <row r="2409" spans="1:16" ht="15.75" customHeight="1" x14ac:dyDescent="0.35">
      <c r="B2409" s="20" t="s">
        <v>242</v>
      </c>
      <c r="C2409" s="21"/>
      <c r="D2409" s="22" t="s">
        <v>294</v>
      </c>
      <c r="E2409" s="23" t="s">
        <v>244</v>
      </c>
      <c r="F2409" s="23" t="s">
        <v>245</v>
      </c>
      <c r="G2409" s="23" t="s">
        <v>246</v>
      </c>
      <c r="H2409" s="23" t="s">
        <v>247</v>
      </c>
      <c r="I2409" s="23" t="s">
        <v>248</v>
      </c>
      <c r="O2409" s="4"/>
    </row>
    <row r="2410" spans="1:16" ht="1" customHeight="1" x14ac:dyDescent="0.35">
      <c r="B2410" s="24" t="s">
        <v>249</v>
      </c>
      <c r="C2410" s="25"/>
      <c r="D2410" s="25"/>
      <c r="E2410" s="25"/>
      <c r="F2410" s="25"/>
      <c r="G2410" s="25"/>
      <c r="H2410" s="25"/>
      <c r="I2410" s="25"/>
      <c r="O2410" t="e">
        <f>(O2408-3*O2407)/O2409</f>
        <v>#DIV/0!</v>
      </c>
    </row>
    <row r="2411" spans="1:16" ht="15.75" customHeight="1" x14ac:dyDescent="0.35">
      <c r="B2411" s="20" t="s">
        <v>250</v>
      </c>
      <c r="C2411" s="26">
        <v>0.20833333333333334</v>
      </c>
      <c r="D2411" s="26">
        <v>0.28819444444444448</v>
      </c>
      <c r="E2411" s="26">
        <v>0.35416666666666669</v>
      </c>
      <c r="F2411" s="26">
        <f>E2411+'Lookup Tables'!$N$1</f>
        <v>0.375</v>
      </c>
      <c r="G2411" s="26">
        <f>F2411+'Lookup Tables'!$N$1</f>
        <v>0.39583333333333331</v>
      </c>
      <c r="H2411" s="26">
        <f>G2411+'Lookup Tables'!$N$1</f>
        <v>0.41666666666666663</v>
      </c>
      <c r="I2411" s="26">
        <f>H2411+'Lookup Tables'!$S$1</f>
        <v>0.42708333333333331</v>
      </c>
      <c r="N2411">
        <f>MAX(F2408:M2408)-O2411</f>
        <v>28</v>
      </c>
      <c r="O2411" t="str">
        <f>RIGHT(E2408,3)</f>
        <v>366</v>
      </c>
    </row>
    <row r="2412" spans="1:16" ht="15.75" customHeight="1" x14ac:dyDescent="0.35">
      <c r="B2412" s="20" t="s">
        <v>251</v>
      </c>
      <c r="C2412" s="27">
        <v>0.2</v>
      </c>
      <c r="D2412" s="27">
        <v>0.5</v>
      </c>
      <c r="E2412" s="27"/>
      <c r="F2412" s="27"/>
      <c r="G2412" s="27"/>
      <c r="H2412" s="27"/>
      <c r="I2412" s="25"/>
      <c r="N2412" t="str">
        <f xml:space="preserve">  N2411 &amp; " degrees this time"</f>
        <v>28 degrees this time</v>
      </c>
    </row>
    <row r="2413" spans="1:16" ht="15.75" customHeight="1" x14ac:dyDescent="0.35">
      <c r="B2413" s="20" t="s">
        <v>252</v>
      </c>
      <c r="C2413" s="27">
        <v>0.9</v>
      </c>
      <c r="D2413" s="27">
        <v>0.8</v>
      </c>
      <c r="E2413" s="27">
        <v>0.7</v>
      </c>
      <c r="F2413" s="27"/>
      <c r="G2413" s="27"/>
      <c r="H2413" s="27"/>
      <c r="I2413" s="27" t="s">
        <v>275</v>
      </c>
    </row>
    <row r="2414" spans="1:16" ht="15.75" customHeight="1" x14ac:dyDescent="0.35">
      <c r="B2414" s="20"/>
      <c r="D2414" s="11"/>
      <c r="E2414" s="11"/>
      <c r="F2414" s="11"/>
      <c r="G2414" s="11"/>
      <c r="H2414" s="35"/>
    </row>
    <row r="2415" spans="1:16" ht="15.75" customHeight="1" x14ac:dyDescent="0.35">
      <c r="B2415" s="20"/>
      <c r="G2415" s="1" t="s">
        <v>331</v>
      </c>
      <c r="K2415" s="32" t="s">
        <v>332</v>
      </c>
      <c r="L2415" s="9"/>
      <c r="M2415" s="9"/>
    </row>
    <row r="2416" spans="1:16" ht="15.75" customHeight="1" x14ac:dyDescent="0.35">
      <c r="B2416" s="30"/>
      <c r="G2416" s="1"/>
      <c r="H2416" s="1"/>
      <c r="K2416" s="9"/>
      <c r="L2416" s="9"/>
      <c r="M2416" s="9"/>
    </row>
    <row r="2417" spans="1:16" ht="15.75" customHeight="1" x14ac:dyDescent="0.35">
      <c r="B2417" s="30"/>
      <c r="G2417" s="1"/>
      <c r="H2417" s="1"/>
      <c r="K2417" s="9" t="s">
        <v>300</v>
      </c>
      <c r="L2417" s="9"/>
      <c r="M2417" s="9"/>
    </row>
    <row r="2418" spans="1:16" ht="15.75" customHeight="1" x14ac:dyDescent="0.35">
      <c r="B2418" s="9"/>
      <c r="C2418" s="9"/>
      <c r="D2418" s="9"/>
      <c r="E2418" s="9"/>
      <c r="F2418" s="12"/>
      <c r="G2418" s="12"/>
      <c r="H2418" s="12"/>
      <c r="I2418" s="12"/>
      <c r="J2418" s="12"/>
      <c r="K2418" s="12"/>
      <c r="L2418" s="1"/>
    </row>
    <row r="2419" spans="1:16" ht="15.75" customHeight="1" x14ac:dyDescent="0.35">
      <c r="B2419" s="13"/>
      <c r="C2419" s="13"/>
      <c r="D2419" s="15"/>
      <c r="G2419" s="13"/>
      <c r="H2419" s="14" t="s">
        <v>255</v>
      </c>
      <c r="I2419" s="13"/>
      <c r="J2419" s="1"/>
    </row>
    <row r="2420" spans="1:16" x14ac:dyDescent="0.35">
      <c r="B2420" s="13" t="s">
        <v>5</v>
      </c>
      <c r="C2420" s="13" t="s">
        <v>1</v>
      </c>
      <c r="D2420" s="15" t="str">
        <f>VLOOKUP(A2421,Inventory!$A$4:$K$1139,7)</f>
        <v xml:space="preserve">Klatch                             </v>
      </c>
      <c r="F2420" s="13" t="s">
        <v>235</v>
      </c>
      <c r="G2420" s="16"/>
      <c r="L2420" s="17"/>
      <c r="M2420" s="17"/>
    </row>
    <row r="2421" spans="1:16" x14ac:dyDescent="0.35">
      <c r="A2421">
        <v>163</v>
      </c>
      <c r="B2421" s="5">
        <v>44507</v>
      </c>
      <c r="C2421" s="15" t="str">
        <f>VLOOKUP(A2421,Inventory!$A$4:$K$1139,2)</f>
        <v>Guatemala Antigua Hunapu Micro Lot 2020</v>
      </c>
      <c r="E2421" s="11"/>
      <c r="F2421" s="31" t="s">
        <v>291</v>
      </c>
      <c r="G2421" s="2" t="s">
        <v>286</v>
      </c>
      <c r="L2421" s="17"/>
      <c r="M2421" s="17"/>
      <c r="P2421" s="8"/>
    </row>
    <row r="2422" spans="1:16" x14ac:dyDescent="0.35">
      <c r="B2422" s="13"/>
      <c r="C2422" s="13"/>
      <c r="D2422" s="11"/>
      <c r="F2422" s="13"/>
      <c r="G2422" s="16"/>
      <c r="I2422" s="1"/>
      <c r="L2422" s="19"/>
      <c r="M2422" s="19"/>
    </row>
    <row r="2423" spans="1:16" x14ac:dyDescent="0.35">
      <c r="B2423" s="20"/>
      <c r="C2423" s="11" t="s">
        <v>240</v>
      </c>
      <c r="D2423" s="11" t="s">
        <v>241</v>
      </c>
      <c r="E2423" s="11" t="s">
        <v>437</v>
      </c>
      <c r="F2423" s="11">
        <v>361</v>
      </c>
      <c r="G2423" s="11">
        <v>366</v>
      </c>
      <c r="H2423" s="11">
        <v>374</v>
      </c>
      <c r="I2423" s="11">
        <v>379</v>
      </c>
      <c r="J2423" s="11"/>
      <c r="K2423" s="11"/>
      <c r="L2423" s="11"/>
    </row>
    <row r="2424" spans="1:16" ht="15.75" customHeight="1" x14ac:dyDescent="0.35">
      <c r="B2424" s="20" t="s">
        <v>242</v>
      </c>
      <c r="C2424" s="30"/>
      <c r="D2424" s="30"/>
      <c r="E2424" s="23" t="s">
        <v>244</v>
      </c>
      <c r="F2424" s="23" t="s">
        <v>245</v>
      </c>
      <c r="G2424" s="23" t="s">
        <v>246</v>
      </c>
      <c r="H2424" s="23" t="s">
        <v>247</v>
      </c>
      <c r="I2424" s="23" t="s">
        <v>248</v>
      </c>
      <c r="O2424" s="4"/>
    </row>
    <row r="2425" spans="1:16" ht="1" customHeight="1" x14ac:dyDescent="0.35">
      <c r="B2425" s="24" t="s">
        <v>249</v>
      </c>
      <c r="C2425" s="25"/>
      <c r="D2425" s="25"/>
      <c r="E2425" s="25"/>
      <c r="F2425" s="25"/>
      <c r="G2425" s="25"/>
      <c r="H2425" s="25"/>
      <c r="I2425" s="25"/>
      <c r="O2425" t="e">
        <f>(O2423-3*O2422)/O2424</f>
        <v>#DIV/0!</v>
      </c>
    </row>
    <row r="2426" spans="1:16" ht="15.75" customHeight="1" x14ac:dyDescent="0.35">
      <c r="B2426" s="20" t="s">
        <v>250</v>
      </c>
      <c r="C2426" s="26">
        <v>0.19791666666666666</v>
      </c>
      <c r="D2426" s="26">
        <v>0.27430555555555552</v>
      </c>
      <c r="E2426" s="26">
        <v>0.3298611111111111</v>
      </c>
      <c r="F2426" s="26">
        <f>E2426+'Lookup Tables'!$N$1</f>
        <v>0.35069444444444442</v>
      </c>
      <c r="G2426" s="26">
        <f>F2426+'Lookup Tables'!$N$1</f>
        <v>0.37152777777777773</v>
      </c>
      <c r="H2426" s="26">
        <f>G2426+'Lookup Tables'!$N$1</f>
        <v>0.39236111111111105</v>
      </c>
      <c r="I2426" s="26">
        <f>H2426+'Lookup Tables'!$S$1</f>
        <v>0.40277777777777773</v>
      </c>
      <c r="N2426">
        <f>MAX(F2423:M2423)-O2426</f>
        <v>24</v>
      </c>
      <c r="O2426" t="str">
        <f>RIGHT(E2423,3)</f>
        <v>355</v>
      </c>
    </row>
    <row r="2427" spans="1:16" ht="15.75" customHeight="1" x14ac:dyDescent="0.35">
      <c r="B2427" s="20" t="s">
        <v>251</v>
      </c>
      <c r="C2427" s="27">
        <v>0.2</v>
      </c>
      <c r="D2427" s="27">
        <v>0.5</v>
      </c>
      <c r="E2427" s="27"/>
      <c r="F2427" s="27"/>
      <c r="G2427" s="27"/>
      <c r="H2427" s="27"/>
      <c r="I2427" s="25"/>
      <c r="N2427" t="str">
        <f xml:space="preserve">  N2426 &amp; " degrees this time"</f>
        <v>24 degrees this time</v>
      </c>
    </row>
    <row r="2428" spans="1:16" ht="15.75" customHeight="1" x14ac:dyDescent="0.35">
      <c r="B2428" s="20" t="s">
        <v>252</v>
      </c>
      <c r="C2428" s="27">
        <v>0.9</v>
      </c>
      <c r="D2428" s="27">
        <v>0.8</v>
      </c>
      <c r="E2428" s="27"/>
      <c r="F2428" s="27"/>
      <c r="G2428" s="27">
        <v>0.6</v>
      </c>
      <c r="H2428" s="27">
        <v>0.4</v>
      </c>
      <c r="I2428" s="27" t="s">
        <v>275</v>
      </c>
    </row>
    <row r="2429" spans="1:16" ht="15.75" customHeight="1" x14ac:dyDescent="0.35">
      <c r="B2429" s="20"/>
      <c r="D2429" s="37"/>
      <c r="E2429" s="11"/>
      <c r="F2429" s="11"/>
      <c r="G2429" s="40"/>
      <c r="H2429" s="11"/>
      <c r="I2429" s="11"/>
      <c r="J2429" s="37"/>
      <c r="K2429" s="32" t="s">
        <v>438</v>
      </c>
      <c r="L2429" s="9"/>
      <c r="M2429" s="9"/>
    </row>
    <row r="2430" spans="1:16" ht="15.75" customHeight="1" x14ac:dyDescent="0.35">
      <c r="B2430" s="38"/>
      <c r="G2430" s="1" t="s">
        <v>307</v>
      </c>
      <c r="H2430" s="1"/>
      <c r="K2430" s="32"/>
      <c r="L2430" s="9"/>
      <c r="M2430" s="9"/>
    </row>
    <row r="2431" spans="1:16" ht="15.75" customHeight="1" x14ac:dyDescent="0.35">
      <c r="B2431" s="20"/>
      <c r="G2431" s="1"/>
      <c r="H2431" s="1"/>
      <c r="K2431" s="32"/>
      <c r="L2431" s="9"/>
      <c r="M2431" s="9"/>
    </row>
    <row r="2432" spans="1:16" ht="15.75" customHeight="1" x14ac:dyDescent="0.35">
      <c r="B2432" s="20"/>
      <c r="G2432" s="1"/>
      <c r="H2432" s="1"/>
      <c r="K2432" s="9" t="s">
        <v>300</v>
      </c>
      <c r="L2432" s="9"/>
      <c r="M2432" s="9"/>
    </row>
    <row r="2433" spans="1:16" ht="15.75" customHeight="1" x14ac:dyDescent="0.35">
      <c r="B2433" s="9"/>
      <c r="C2433" s="9"/>
      <c r="D2433" s="9"/>
      <c r="E2433" s="9"/>
      <c r="F2433" s="12"/>
      <c r="G2433" s="12"/>
      <c r="H2433" s="12"/>
      <c r="I2433" s="12"/>
      <c r="J2433" s="12"/>
      <c r="K2433" s="12"/>
      <c r="L2433" s="1"/>
    </row>
    <row r="2434" spans="1:16" ht="15.75" customHeight="1" x14ac:dyDescent="0.35">
      <c r="B2434" s="13"/>
      <c r="C2434" s="13"/>
      <c r="D2434" s="15"/>
      <c r="F2434" s="33" t="s">
        <v>305</v>
      </c>
    </row>
    <row r="2435" spans="1:16" x14ac:dyDescent="0.35">
      <c r="B2435" s="13" t="s">
        <v>5</v>
      </c>
      <c r="C2435" s="13" t="s">
        <v>1</v>
      </c>
      <c r="D2435" s="15" t="str">
        <f>VLOOKUP(A2436,Inventory!$A$4:$K$1139,7)</f>
        <v xml:space="preserve">GCBC                               </v>
      </c>
      <c r="F2435" s="13" t="s">
        <v>235</v>
      </c>
      <c r="G2435" s="16"/>
      <c r="L2435" s="17"/>
      <c r="M2435" s="17"/>
    </row>
    <row r="2436" spans="1:16" x14ac:dyDescent="0.35">
      <c r="A2436">
        <v>160</v>
      </c>
      <c r="B2436" s="5">
        <v>44507</v>
      </c>
      <c r="C2436" s="15" t="str">
        <f>VLOOKUP(A2436,Inventory!$A$4:$K$1139,2)</f>
        <v>Sumatra Mandheling Takengon 2020</v>
      </c>
      <c r="E2436" s="11"/>
      <c r="F2436" s="34" t="s">
        <v>279</v>
      </c>
      <c r="G2436" s="2" t="s">
        <v>270</v>
      </c>
      <c r="J2436" s="8"/>
      <c r="L2436" s="17"/>
      <c r="M2436" s="17"/>
      <c r="P2436" s="8"/>
    </row>
    <row r="2437" spans="1:16" x14ac:dyDescent="0.35">
      <c r="B2437" s="13"/>
      <c r="C2437" s="13"/>
      <c r="D2437" s="11"/>
      <c r="F2437" s="13"/>
      <c r="G2437" s="16"/>
      <c r="K2437" s="1"/>
      <c r="L2437" s="19"/>
      <c r="M2437" s="19"/>
    </row>
    <row r="2438" spans="1:16" x14ac:dyDescent="0.35">
      <c r="B2438" s="20"/>
      <c r="C2438" s="11" t="s">
        <v>240</v>
      </c>
      <c r="D2438" s="11" t="s">
        <v>301</v>
      </c>
      <c r="E2438" s="11" t="s">
        <v>319</v>
      </c>
      <c r="F2438" s="11">
        <v>381</v>
      </c>
      <c r="G2438" s="11">
        <v>387</v>
      </c>
      <c r="H2438" s="11">
        <v>394</v>
      </c>
      <c r="I2438" s="11">
        <v>399</v>
      </c>
      <c r="J2438" s="11"/>
      <c r="K2438" s="11"/>
      <c r="L2438" s="11"/>
    </row>
    <row r="2439" spans="1:16" ht="15.75" customHeight="1" x14ac:dyDescent="0.35">
      <c r="B2439" s="20" t="s">
        <v>242</v>
      </c>
      <c r="C2439" s="21"/>
      <c r="D2439" s="22" t="s">
        <v>302</v>
      </c>
      <c r="E2439" s="23" t="s">
        <v>244</v>
      </c>
      <c r="F2439" s="23" t="s">
        <v>245</v>
      </c>
      <c r="G2439" s="23" t="s">
        <v>246</v>
      </c>
      <c r="H2439" s="23" t="s">
        <v>247</v>
      </c>
      <c r="I2439" s="23" t="s">
        <v>259</v>
      </c>
      <c r="O2439" s="4"/>
    </row>
    <row r="2440" spans="1:16" ht="1" customHeight="1" x14ac:dyDescent="0.35">
      <c r="B2440" s="24" t="s">
        <v>249</v>
      </c>
      <c r="C2440" s="25"/>
      <c r="D2440" s="25"/>
      <c r="E2440" s="25"/>
      <c r="F2440" s="25"/>
      <c r="G2440" s="25"/>
      <c r="H2440" s="25"/>
      <c r="I2440" s="25"/>
      <c r="O2440" t="e">
        <f>(O2438-3*O2437)/O2439</f>
        <v>#DIV/0!</v>
      </c>
    </row>
    <row r="2441" spans="1:16" ht="15.75" customHeight="1" x14ac:dyDescent="0.35">
      <c r="B2441" s="20" t="s">
        <v>250</v>
      </c>
      <c r="C2441" s="26">
        <v>0.23263888888888887</v>
      </c>
      <c r="D2441" s="26">
        <v>0.3263888888888889</v>
      </c>
      <c r="E2441" s="26">
        <v>0.40972222222222227</v>
      </c>
      <c r="F2441" s="26">
        <f>E2441+'Lookup Tables'!$N$1</f>
        <v>0.43055555555555558</v>
      </c>
      <c r="G2441" s="26">
        <f>F2441+'Lookup Tables'!$N$1</f>
        <v>0.4513888888888889</v>
      </c>
      <c r="H2441" s="26">
        <f>G2441+'Lookup Tables'!$N$1</f>
        <v>0.47222222222222221</v>
      </c>
      <c r="I2441" s="26">
        <f>H2441+'Lookup Tables'!$N$1</f>
        <v>0.49305555555555552</v>
      </c>
      <c r="N2441">
        <f>MAX(F2438:M2438)-O2441</f>
        <v>26</v>
      </c>
      <c r="O2441" t="str">
        <f>RIGHT(E2438,3)</f>
        <v>373</v>
      </c>
    </row>
    <row r="2442" spans="1:16" ht="15.75" customHeight="1" x14ac:dyDescent="0.35">
      <c r="B2442" s="20" t="s">
        <v>251</v>
      </c>
      <c r="C2442" s="27">
        <v>0.2</v>
      </c>
      <c r="D2442" s="27">
        <v>0.5</v>
      </c>
      <c r="E2442" s="27"/>
      <c r="F2442" s="27"/>
      <c r="G2442" s="27"/>
      <c r="H2442" s="27"/>
      <c r="I2442" s="27"/>
      <c r="N2442" t="str">
        <f xml:space="preserve">  N2441 &amp; " degrees this time"</f>
        <v>26 degrees this time</v>
      </c>
    </row>
    <row r="2443" spans="1:16" ht="15.75" customHeight="1" x14ac:dyDescent="0.35">
      <c r="B2443" s="20" t="s">
        <v>252</v>
      </c>
      <c r="C2443" s="27">
        <v>0.9</v>
      </c>
      <c r="D2443" s="27">
        <v>0.7</v>
      </c>
      <c r="E2443" s="27">
        <v>0.4</v>
      </c>
      <c r="F2443" s="27" t="s">
        <v>274</v>
      </c>
      <c r="G2443" s="27"/>
      <c r="H2443" s="27"/>
      <c r="I2443" s="27"/>
    </row>
    <row r="2444" spans="1:16" ht="15.75" customHeight="1" x14ac:dyDescent="0.35">
      <c r="B2444" s="20"/>
      <c r="D2444" s="11"/>
      <c r="E2444" s="11"/>
      <c r="F2444" s="11"/>
      <c r="G2444" s="11"/>
      <c r="H2444" s="11"/>
      <c r="I2444" s="11"/>
      <c r="J2444" s="37"/>
      <c r="K2444" s="37"/>
      <c r="L2444" s="35"/>
    </row>
    <row r="2445" spans="1:16" ht="15.75" customHeight="1" x14ac:dyDescent="0.35">
      <c r="B2445" s="38"/>
      <c r="E2445" s="11"/>
      <c r="G2445" s="1" t="s">
        <v>317</v>
      </c>
      <c r="H2445" s="1"/>
      <c r="K2445" s="32" t="s">
        <v>439</v>
      </c>
      <c r="L2445" s="9"/>
      <c r="M2445" s="9"/>
    </row>
    <row r="2446" spans="1:16" ht="15.75" customHeight="1" x14ac:dyDescent="0.35">
      <c r="B2446" s="20"/>
      <c r="G2446" s="1"/>
      <c r="H2446" s="1"/>
      <c r="K2446" s="32"/>
      <c r="L2446" s="9"/>
      <c r="M2446" s="9"/>
    </row>
    <row r="2447" spans="1:16" ht="15.75" customHeight="1" x14ac:dyDescent="0.35">
      <c r="B2447" s="20"/>
      <c r="G2447" s="1"/>
      <c r="H2447" s="1"/>
      <c r="K2447" s="9" t="s">
        <v>300</v>
      </c>
      <c r="L2447" s="9"/>
      <c r="M2447" s="9"/>
    </row>
    <row r="2448" spans="1:16" ht="15.75" customHeight="1" x14ac:dyDescent="0.35">
      <c r="B2448" s="9"/>
      <c r="C2448" s="9"/>
      <c r="D2448" s="9"/>
      <c r="E2448" s="9"/>
      <c r="F2448" s="12"/>
      <c r="G2448" s="12"/>
      <c r="H2448" s="12"/>
      <c r="I2448" s="12"/>
      <c r="J2448" s="12"/>
      <c r="K2448" s="12"/>
      <c r="L2448" s="1"/>
    </row>
    <row r="2449" spans="1:16" ht="15.75" customHeight="1" x14ac:dyDescent="0.35">
      <c r="B2449" s="13"/>
      <c r="C2449" s="13"/>
      <c r="D2449" s="13"/>
      <c r="E2449" s="13"/>
      <c r="F2449" s="50" t="s">
        <v>256</v>
      </c>
      <c r="G2449" s="13"/>
      <c r="H2449" s="14" t="s">
        <v>255</v>
      </c>
      <c r="I2449" s="13"/>
    </row>
    <row r="2450" spans="1:16" x14ac:dyDescent="0.35">
      <c r="B2450" s="13" t="s">
        <v>5</v>
      </c>
      <c r="C2450" s="13" t="s">
        <v>1</v>
      </c>
      <c r="D2450" s="15" t="str">
        <f>VLOOKUP(A2451,Inventory!$A$4:$K$1139,7)</f>
        <v xml:space="preserve">Klatch                             </v>
      </c>
      <c r="F2450" s="13" t="s">
        <v>235</v>
      </c>
      <c r="G2450" s="16"/>
      <c r="L2450" s="17"/>
      <c r="M2450" s="17"/>
    </row>
    <row r="2451" spans="1:16" x14ac:dyDescent="0.35">
      <c r="A2451">
        <v>154</v>
      </c>
      <c r="B2451" s="5">
        <v>44422</v>
      </c>
      <c r="C2451" s="15" t="str">
        <f>VLOOKUP(A2451,Inventory!$A$4:$K$1139,2)</f>
        <v>Panama Elida Natural 2019</v>
      </c>
      <c r="F2451" s="31" t="s">
        <v>291</v>
      </c>
      <c r="G2451" s="2" t="s">
        <v>270</v>
      </c>
      <c r="L2451" s="17"/>
      <c r="M2451" s="17"/>
      <c r="P2451" s="8"/>
    </row>
    <row r="2452" spans="1:16" x14ac:dyDescent="0.35">
      <c r="F2452" s="13"/>
      <c r="G2452" s="16"/>
      <c r="L2452" s="19"/>
      <c r="M2452" s="19"/>
    </row>
    <row r="2453" spans="1:16" x14ac:dyDescent="0.35">
      <c r="B2453" s="20"/>
      <c r="C2453" s="11" t="s">
        <v>240</v>
      </c>
      <c r="D2453" s="11" t="s">
        <v>272</v>
      </c>
      <c r="E2453" s="11" t="s">
        <v>440</v>
      </c>
      <c r="F2453" s="11">
        <v>379</v>
      </c>
      <c r="G2453" s="11">
        <v>386</v>
      </c>
      <c r="H2453" s="11">
        <v>389</v>
      </c>
      <c r="I2453" s="11"/>
      <c r="J2453" s="11"/>
      <c r="K2453" s="28"/>
      <c r="L2453" s="28"/>
    </row>
    <row r="2454" spans="1:16" ht="15.75" customHeight="1" x14ac:dyDescent="0.35">
      <c r="B2454" s="20" t="s">
        <v>242</v>
      </c>
      <c r="C2454" s="30"/>
      <c r="D2454" s="30"/>
      <c r="E2454" s="23" t="s">
        <v>244</v>
      </c>
      <c r="F2454" s="23" t="s">
        <v>245</v>
      </c>
      <c r="G2454" s="23" t="s">
        <v>246</v>
      </c>
      <c r="H2454" s="23" t="s">
        <v>273</v>
      </c>
      <c r="O2454" s="4"/>
    </row>
    <row r="2455" spans="1:16" ht="1" customHeight="1" x14ac:dyDescent="0.35">
      <c r="B2455" s="24" t="s">
        <v>249</v>
      </c>
      <c r="C2455" s="25"/>
      <c r="D2455" s="25"/>
      <c r="E2455" s="25"/>
      <c r="F2455" s="25"/>
      <c r="G2455" s="25"/>
      <c r="H2455" s="25"/>
      <c r="O2455" t="e">
        <f>(O2453-3*O2452)/O2454</f>
        <v>#DIV/0!</v>
      </c>
    </row>
    <row r="2456" spans="1:16" ht="15.75" customHeight="1" x14ac:dyDescent="0.35">
      <c r="B2456" s="20" t="s">
        <v>250</v>
      </c>
      <c r="C2456" s="26">
        <v>0.19444444444444445</v>
      </c>
      <c r="D2456" s="26">
        <v>0.27777777777777779</v>
      </c>
      <c r="E2456" s="26">
        <v>0.36805555555555558</v>
      </c>
      <c r="F2456" s="26">
        <f>E2456+'Lookup Tables'!$N$1</f>
        <v>0.3888888888888889</v>
      </c>
      <c r="G2456" s="26">
        <f>F2456+'Lookup Tables'!$N$1</f>
        <v>0.40972222222222221</v>
      </c>
      <c r="H2456" s="26">
        <f>G2456+'Lookup Tables'!$S$1</f>
        <v>0.4201388888888889</v>
      </c>
      <c r="N2456">
        <f>MAX(F2453:M2453)-O2456</f>
        <v>17</v>
      </c>
      <c r="O2456" t="str">
        <f>RIGHT(E2453,3)</f>
        <v>372</v>
      </c>
    </row>
    <row r="2457" spans="1:16" ht="15.75" customHeight="1" x14ac:dyDescent="0.35">
      <c r="B2457" s="20" t="s">
        <v>251</v>
      </c>
      <c r="C2457" s="27">
        <v>0.2</v>
      </c>
      <c r="D2457" s="27">
        <v>0.5</v>
      </c>
      <c r="E2457" s="27">
        <v>0.5</v>
      </c>
      <c r="F2457" s="27" t="s">
        <v>274</v>
      </c>
      <c r="G2457" s="27"/>
      <c r="H2457" s="25"/>
      <c r="N2457" t="str">
        <f xml:space="preserve">  N2456 &amp; " degrees this time"</f>
        <v>17 degrees this time</v>
      </c>
    </row>
    <row r="2458" spans="1:16" ht="15.75" customHeight="1" x14ac:dyDescent="0.35">
      <c r="B2458" s="20" t="s">
        <v>252</v>
      </c>
      <c r="C2458" s="27">
        <v>0.9</v>
      </c>
      <c r="D2458" s="27">
        <v>0.7</v>
      </c>
      <c r="E2458" s="27">
        <v>0.6</v>
      </c>
      <c r="F2458" s="27" t="s">
        <v>274</v>
      </c>
      <c r="G2458" s="27"/>
      <c r="H2458" s="27" t="s">
        <v>275</v>
      </c>
    </row>
    <row r="2459" spans="1:16" ht="15.75" customHeight="1" x14ac:dyDescent="0.35">
      <c r="B2459" s="20"/>
      <c r="D2459" s="11"/>
      <c r="E2459" s="11"/>
      <c r="F2459" s="11"/>
    </row>
    <row r="2460" spans="1:16" ht="15.75" customHeight="1" x14ac:dyDescent="0.35">
      <c r="B2460" s="20"/>
      <c r="C2460" s="30"/>
      <c r="D2460" s="11"/>
      <c r="E2460" s="11"/>
      <c r="F2460" s="11"/>
      <c r="G2460" s="1" t="s">
        <v>276</v>
      </c>
      <c r="K2460" s="32" t="s">
        <v>424</v>
      </c>
      <c r="L2460" s="9"/>
      <c r="M2460" s="9"/>
    </row>
    <row r="2461" spans="1:16" ht="15.75" customHeight="1" x14ac:dyDescent="0.35">
      <c r="B2461" s="20"/>
      <c r="G2461" s="1"/>
      <c r="H2461" s="1"/>
      <c r="K2461" s="9"/>
      <c r="L2461" s="9"/>
      <c r="M2461" s="9"/>
    </row>
    <row r="2462" spans="1:16" ht="15.75" customHeight="1" x14ac:dyDescent="0.35">
      <c r="B2462" s="20"/>
      <c r="G2462" s="1"/>
      <c r="H2462" s="1"/>
      <c r="K2462" s="32" t="s">
        <v>277</v>
      </c>
      <c r="L2462" s="9"/>
      <c r="M2462" s="9"/>
    </row>
    <row r="2463" spans="1:16" ht="15.75" customHeight="1" x14ac:dyDescent="0.35">
      <c r="B2463" s="9"/>
      <c r="C2463" s="9"/>
      <c r="D2463" s="9"/>
      <c r="E2463" s="9"/>
      <c r="F2463" s="12"/>
      <c r="G2463" s="12"/>
      <c r="H2463" s="12"/>
      <c r="I2463" s="12"/>
      <c r="J2463" s="12"/>
      <c r="K2463" s="12"/>
      <c r="L2463" s="1"/>
    </row>
    <row r="2464" spans="1:16" ht="15.75" customHeight="1" x14ac:dyDescent="0.35">
      <c r="B2464" s="13"/>
      <c r="C2464" s="13"/>
      <c r="D2464" s="13"/>
      <c r="E2464" s="13"/>
      <c r="F2464" s="13"/>
      <c r="G2464" s="13"/>
      <c r="H2464" s="13"/>
      <c r="I2464" s="13"/>
    </row>
    <row r="2465" spans="1:16" x14ac:dyDescent="0.35">
      <c r="B2465" s="13" t="s">
        <v>5</v>
      </c>
      <c r="C2465" s="13" t="s">
        <v>1</v>
      </c>
      <c r="D2465" s="15" t="str">
        <f>VLOOKUP(A2466,Inventory!$A$4:$K$1139,7)</f>
        <v>Coffee Bean corral</v>
      </c>
      <c r="F2465" s="13" t="s">
        <v>235</v>
      </c>
      <c r="G2465" s="16"/>
      <c r="L2465" s="17"/>
      <c r="M2465" s="17"/>
    </row>
    <row r="2466" spans="1:16" x14ac:dyDescent="0.35">
      <c r="A2466">
        <v>152</v>
      </c>
      <c r="B2466" s="5">
        <v>44422</v>
      </c>
      <c r="C2466" s="15" t="str">
        <f>VLOOKUP(A2466,Inventory!$A$4:$K$1139,2)</f>
        <v>Nicaragua Organic Jinotega Finca La Isabelia 2018</v>
      </c>
      <c r="E2466" s="11"/>
      <c r="F2466" s="34" t="s">
        <v>279</v>
      </c>
      <c r="G2466" s="2" t="s">
        <v>286</v>
      </c>
      <c r="L2466" s="17"/>
      <c r="M2466" s="17"/>
      <c r="P2466" s="8"/>
    </row>
    <row r="2467" spans="1:16" x14ac:dyDescent="0.35">
      <c r="D2467" s="11"/>
      <c r="E2467" s="11"/>
      <c r="G2467" s="16"/>
      <c r="L2467" s="19"/>
      <c r="M2467" s="19"/>
    </row>
    <row r="2468" spans="1:16" x14ac:dyDescent="0.35">
      <c r="B2468" s="20"/>
      <c r="C2468" s="11" t="s">
        <v>240</v>
      </c>
      <c r="D2468" s="11" t="s">
        <v>395</v>
      </c>
      <c r="E2468" s="11" t="s">
        <v>441</v>
      </c>
      <c r="F2468" s="11">
        <v>377</v>
      </c>
      <c r="G2468" s="11">
        <v>385</v>
      </c>
      <c r="H2468" s="11">
        <v>390</v>
      </c>
      <c r="I2468" s="11" t="s">
        <v>313</v>
      </c>
      <c r="J2468" s="11"/>
      <c r="K2468" s="28"/>
      <c r="L2468" s="28"/>
    </row>
    <row r="2469" spans="1:16" ht="15.75" customHeight="1" x14ac:dyDescent="0.35">
      <c r="B2469" s="20" t="s">
        <v>242</v>
      </c>
      <c r="C2469" s="21"/>
      <c r="D2469" s="22" t="s">
        <v>442</v>
      </c>
      <c r="E2469" s="23" t="s">
        <v>244</v>
      </c>
      <c r="F2469" s="23" t="s">
        <v>245</v>
      </c>
      <c r="G2469" s="23" t="s">
        <v>246</v>
      </c>
      <c r="H2469" s="23" t="s">
        <v>247</v>
      </c>
      <c r="O2469" s="4"/>
    </row>
    <row r="2470" spans="1:16" ht="1" customHeight="1" x14ac:dyDescent="0.35">
      <c r="B2470" s="24" t="s">
        <v>249</v>
      </c>
      <c r="C2470" s="25"/>
      <c r="D2470" s="25"/>
      <c r="E2470" s="25"/>
      <c r="F2470" s="25"/>
      <c r="G2470" s="25"/>
      <c r="H2470" s="25"/>
      <c r="O2470" t="e">
        <f>(O2468-3*O2467)/O2469</f>
        <v>#DIV/0!</v>
      </c>
    </row>
    <row r="2471" spans="1:16" ht="15.75" customHeight="1" x14ac:dyDescent="0.35">
      <c r="B2471" s="20" t="s">
        <v>250</v>
      </c>
      <c r="C2471" s="26">
        <v>0.21527777777777779</v>
      </c>
      <c r="D2471" s="26">
        <v>0.28472222222222221</v>
      </c>
      <c r="E2471" s="26">
        <v>0.38194444444444442</v>
      </c>
      <c r="F2471" s="26">
        <f>E2471+'Lookup Tables'!$N$1</f>
        <v>0.40277777777777773</v>
      </c>
      <c r="G2471" s="26">
        <f>F2471+'Lookup Tables'!$N$1</f>
        <v>0.42361111111111105</v>
      </c>
      <c r="H2471" s="26">
        <f>G2471+'Lookup Tables'!$S$1</f>
        <v>0.43402777777777773</v>
      </c>
      <c r="I2471" s="11"/>
      <c r="J2471" s="11"/>
      <c r="K2471" s="11"/>
      <c r="N2471">
        <f>MAX(F2468:M2468)-O2471</f>
        <v>21</v>
      </c>
      <c r="O2471" t="str">
        <f>RIGHT(E2468,3)</f>
        <v>369</v>
      </c>
    </row>
    <row r="2472" spans="1:16" ht="15.75" customHeight="1" x14ac:dyDescent="0.35">
      <c r="B2472" s="20" t="s">
        <v>251</v>
      </c>
      <c r="C2472" s="27">
        <v>0.2</v>
      </c>
      <c r="D2472" s="27">
        <v>0.5</v>
      </c>
      <c r="E2472" s="27"/>
      <c r="F2472" s="27"/>
      <c r="G2472" s="27" t="s">
        <v>274</v>
      </c>
      <c r="H2472" s="27"/>
      <c r="N2472" t="str">
        <f xml:space="preserve">  N2471 &amp; " degrees this time"</f>
        <v>21 degrees this time</v>
      </c>
    </row>
    <row r="2473" spans="1:16" ht="15.75" customHeight="1" x14ac:dyDescent="0.35">
      <c r="B2473" s="20" t="s">
        <v>252</v>
      </c>
      <c r="C2473" s="27">
        <v>0.9</v>
      </c>
      <c r="D2473" s="27">
        <v>0.7</v>
      </c>
      <c r="E2473" s="27">
        <v>0.6</v>
      </c>
      <c r="F2473" s="27"/>
      <c r="G2473" s="27"/>
      <c r="H2473" s="27" t="s">
        <v>275</v>
      </c>
    </row>
    <row r="2474" spans="1:16" ht="15.75" customHeight="1" x14ac:dyDescent="0.35">
      <c r="B2474" s="20"/>
      <c r="D2474" s="11"/>
      <c r="E2474" s="11"/>
      <c r="F2474" s="11"/>
      <c r="H2474" s="55"/>
    </row>
    <row r="2475" spans="1:16" ht="15.75" customHeight="1" x14ac:dyDescent="0.35">
      <c r="B2475" s="20"/>
      <c r="G2475" s="1" t="s">
        <v>396</v>
      </c>
      <c r="K2475" s="32" t="s">
        <v>345</v>
      </c>
      <c r="L2475" s="9"/>
      <c r="M2475" s="9"/>
    </row>
    <row r="2476" spans="1:16" ht="15.75" customHeight="1" x14ac:dyDescent="0.35">
      <c r="B2476" s="30"/>
      <c r="G2476" s="1"/>
      <c r="H2476" s="1"/>
      <c r="K2476" s="32"/>
      <c r="L2476" s="9"/>
      <c r="M2476" s="9"/>
    </row>
    <row r="2477" spans="1:16" ht="15.75" customHeight="1" x14ac:dyDescent="0.35">
      <c r="B2477" s="30"/>
      <c r="G2477" s="1"/>
      <c r="H2477" s="1"/>
      <c r="K2477" s="32" t="s">
        <v>254</v>
      </c>
      <c r="L2477" s="9"/>
      <c r="M2477" s="9"/>
    </row>
    <row r="2478" spans="1:16" ht="15.75" customHeight="1" x14ac:dyDescent="0.35">
      <c r="B2478" s="9"/>
      <c r="C2478" s="9"/>
      <c r="D2478" s="9"/>
      <c r="E2478" s="9"/>
      <c r="F2478" s="12"/>
      <c r="G2478" s="12"/>
      <c r="H2478" s="12"/>
      <c r="I2478" s="12"/>
      <c r="J2478" s="12"/>
      <c r="K2478" s="12"/>
      <c r="L2478" s="1"/>
    </row>
    <row r="2479" spans="1:16" ht="15.75" customHeight="1" x14ac:dyDescent="0.35">
      <c r="B2479" s="13"/>
      <c r="C2479" s="13"/>
      <c r="D2479" s="13"/>
      <c r="E2479" s="13"/>
      <c r="F2479" s="50" t="s">
        <v>236</v>
      </c>
      <c r="G2479" s="13"/>
      <c r="H2479" s="14" t="s">
        <v>255</v>
      </c>
      <c r="I2479" s="13"/>
    </row>
    <row r="2480" spans="1:16" x14ac:dyDescent="0.35">
      <c r="B2480" s="13" t="s">
        <v>5</v>
      </c>
      <c r="C2480" s="13" t="s">
        <v>1</v>
      </c>
      <c r="D2480" s="15" t="str">
        <f>VLOOKUP(A2481,Inventory!$A$4:$K$1139,7)</f>
        <v xml:space="preserve">Klatch                             </v>
      </c>
      <c r="F2480" s="13" t="s">
        <v>235</v>
      </c>
      <c r="G2480" s="16"/>
      <c r="L2480" s="17"/>
      <c r="M2480" s="17"/>
    </row>
    <row r="2481" spans="1:16" x14ac:dyDescent="0.35">
      <c r="A2481">
        <v>154</v>
      </c>
      <c r="B2481" s="5">
        <v>44422</v>
      </c>
      <c r="C2481" s="15" t="str">
        <f>VLOOKUP(A2481,Inventory!$A$4:$K$1139,2)</f>
        <v>Panama Elida Natural 2019</v>
      </c>
      <c r="F2481" s="31" t="s">
        <v>291</v>
      </c>
      <c r="G2481" s="2" t="s">
        <v>270</v>
      </c>
      <c r="L2481" s="17"/>
      <c r="M2481" s="17"/>
      <c r="P2481" s="8"/>
    </row>
    <row r="2482" spans="1:16" x14ac:dyDescent="0.35">
      <c r="F2482" s="13"/>
      <c r="G2482" s="16"/>
      <c r="L2482" s="19"/>
      <c r="M2482" s="19"/>
    </row>
    <row r="2483" spans="1:16" x14ac:dyDescent="0.35">
      <c r="B2483" s="20"/>
      <c r="C2483" s="11" t="s">
        <v>240</v>
      </c>
      <c r="D2483" s="11" t="s">
        <v>272</v>
      </c>
      <c r="E2483" s="11" t="s">
        <v>440</v>
      </c>
      <c r="F2483" s="11">
        <v>378</v>
      </c>
      <c r="G2483" s="11">
        <v>386</v>
      </c>
      <c r="H2483" s="11">
        <v>389</v>
      </c>
      <c r="I2483" s="11" t="s">
        <v>310</v>
      </c>
      <c r="J2483" s="11"/>
      <c r="K2483" s="28"/>
      <c r="L2483" s="28"/>
    </row>
    <row r="2484" spans="1:16" ht="15.75" customHeight="1" x14ac:dyDescent="0.35">
      <c r="B2484" s="20" t="s">
        <v>242</v>
      </c>
      <c r="C2484" s="30"/>
      <c r="D2484" s="30"/>
      <c r="E2484" s="23" t="s">
        <v>244</v>
      </c>
      <c r="F2484" s="23" t="s">
        <v>245</v>
      </c>
      <c r="G2484" s="23" t="s">
        <v>246</v>
      </c>
      <c r="H2484" s="23" t="s">
        <v>273</v>
      </c>
      <c r="O2484" s="4"/>
    </row>
    <row r="2485" spans="1:16" ht="1" customHeight="1" x14ac:dyDescent="0.35">
      <c r="B2485" s="24" t="s">
        <v>249</v>
      </c>
      <c r="C2485" s="25"/>
      <c r="D2485" s="25"/>
      <c r="E2485" s="25"/>
      <c r="F2485" s="25"/>
      <c r="G2485" s="25"/>
      <c r="H2485" s="25"/>
      <c r="O2485" t="e">
        <f>(O2483-3*O2482)/O2484</f>
        <v>#DIV/0!</v>
      </c>
    </row>
    <row r="2486" spans="1:16" ht="15.75" customHeight="1" x14ac:dyDescent="0.35">
      <c r="B2486" s="20" t="s">
        <v>250</v>
      </c>
      <c r="C2486" s="26">
        <v>0.19097222222222221</v>
      </c>
      <c r="D2486" s="26">
        <v>0.27777777777777779</v>
      </c>
      <c r="E2486" s="26">
        <v>0.36805555555555558</v>
      </c>
      <c r="F2486" s="26">
        <f>E2486+'Lookup Tables'!$N$1</f>
        <v>0.3888888888888889</v>
      </c>
      <c r="G2486" s="26">
        <f>F2486+'Lookup Tables'!$N$1</f>
        <v>0.40972222222222221</v>
      </c>
      <c r="H2486" s="26">
        <f>G2486+'Lookup Tables'!$S$1</f>
        <v>0.4201388888888889</v>
      </c>
      <c r="N2486">
        <f>MAX(F2483:M2483)-O2486</f>
        <v>17</v>
      </c>
      <c r="O2486" t="str">
        <f>RIGHT(E2483,3)</f>
        <v>372</v>
      </c>
    </row>
    <row r="2487" spans="1:16" ht="15.75" customHeight="1" x14ac:dyDescent="0.35">
      <c r="B2487" s="20" t="s">
        <v>251</v>
      </c>
      <c r="C2487" s="27">
        <v>0.2</v>
      </c>
      <c r="D2487" s="27">
        <v>0.5</v>
      </c>
      <c r="E2487" s="27">
        <v>0.5</v>
      </c>
      <c r="F2487" s="27" t="s">
        <v>274</v>
      </c>
      <c r="G2487" s="27"/>
      <c r="H2487" s="25"/>
      <c r="N2487" t="str">
        <f xml:space="preserve">  N2486 &amp; " degrees this time"</f>
        <v>17 degrees this time</v>
      </c>
    </row>
    <row r="2488" spans="1:16" ht="15.75" customHeight="1" x14ac:dyDescent="0.35">
      <c r="B2488" s="20" t="s">
        <v>252</v>
      </c>
      <c r="C2488" s="27">
        <v>0.9</v>
      </c>
      <c r="D2488" s="27">
        <v>0.7</v>
      </c>
      <c r="E2488" s="27">
        <v>0.6</v>
      </c>
      <c r="F2488" s="27" t="s">
        <v>274</v>
      </c>
      <c r="G2488" s="27"/>
      <c r="H2488" s="27" t="s">
        <v>275</v>
      </c>
    </row>
    <row r="2489" spans="1:16" ht="15.75" customHeight="1" x14ac:dyDescent="0.35">
      <c r="B2489" s="20"/>
      <c r="D2489" s="11"/>
      <c r="E2489" s="11"/>
      <c r="F2489" s="11"/>
    </row>
    <row r="2490" spans="1:16" ht="15.75" customHeight="1" x14ac:dyDescent="0.35">
      <c r="B2490" s="20"/>
      <c r="C2490" s="30"/>
      <c r="D2490" s="11"/>
      <c r="E2490" s="11"/>
      <c r="F2490" s="11"/>
      <c r="G2490" s="1" t="s">
        <v>276</v>
      </c>
      <c r="K2490" s="32" t="s">
        <v>424</v>
      </c>
      <c r="L2490" s="9"/>
      <c r="M2490" s="9"/>
    </row>
    <row r="2491" spans="1:16" ht="15.75" customHeight="1" x14ac:dyDescent="0.35">
      <c r="B2491" s="20"/>
      <c r="G2491" s="1"/>
      <c r="H2491" s="1"/>
      <c r="K2491" s="9"/>
      <c r="L2491" s="9"/>
      <c r="M2491" s="9"/>
    </row>
    <row r="2492" spans="1:16" ht="15.75" customHeight="1" x14ac:dyDescent="0.35">
      <c r="B2492" s="20"/>
      <c r="G2492" s="1"/>
      <c r="H2492" s="1"/>
      <c r="K2492" s="32" t="s">
        <v>277</v>
      </c>
      <c r="L2492" s="9"/>
      <c r="M2492" s="9"/>
    </row>
    <row r="2493" spans="1:16" ht="15.75" customHeight="1" x14ac:dyDescent="0.35">
      <c r="B2493" s="9"/>
      <c r="C2493" s="9"/>
      <c r="D2493" s="9"/>
      <c r="E2493" s="9"/>
      <c r="F2493" s="12"/>
      <c r="G2493" s="12"/>
      <c r="H2493" s="12"/>
      <c r="I2493" s="12"/>
      <c r="J2493" s="12"/>
      <c r="K2493" s="12"/>
      <c r="L2493" s="1"/>
    </row>
    <row r="2494" spans="1:16" ht="15.75" customHeight="1" x14ac:dyDescent="0.35">
      <c r="B2494" s="13"/>
      <c r="C2494" s="13"/>
      <c r="D2494" s="15"/>
      <c r="F2494" s="33" t="s">
        <v>443</v>
      </c>
      <c r="G2494" s="16"/>
      <c r="H2494" s="14" t="s">
        <v>255</v>
      </c>
    </row>
    <row r="2495" spans="1:16" x14ac:dyDescent="0.35">
      <c r="B2495" s="13" t="s">
        <v>5</v>
      </c>
      <c r="C2495" s="13" t="s">
        <v>1</v>
      </c>
      <c r="D2495" s="15" t="str">
        <f>VLOOKUP(A2496,Inventory!$A$4:$K$1139,7)</f>
        <v>Leverhead Coffee</v>
      </c>
      <c r="F2495" s="13" t="s">
        <v>235</v>
      </c>
      <c r="G2495" s="16"/>
      <c r="L2495" s="17"/>
      <c r="M2495" s="17"/>
    </row>
    <row r="2496" spans="1:16" x14ac:dyDescent="0.35">
      <c r="A2496">
        <v>159</v>
      </c>
      <c r="B2496" s="5">
        <v>44422</v>
      </c>
      <c r="C2496" s="15" t="str">
        <f>VLOOKUP(A2496,Inventory!$A$4:$K$1139,2)</f>
        <v>Rwanda Abakundakawa 2020</v>
      </c>
      <c r="F2496" s="31" t="s">
        <v>291</v>
      </c>
      <c r="G2496" s="2" t="s">
        <v>270</v>
      </c>
      <c r="L2496" s="17"/>
      <c r="M2496" s="17"/>
      <c r="P2496" s="8"/>
    </row>
    <row r="2497" spans="1:16" x14ac:dyDescent="0.35">
      <c r="L2497" s="19"/>
      <c r="M2497" s="19"/>
    </row>
    <row r="2498" spans="1:16" x14ac:dyDescent="0.35">
      <c r="B2498" s="20"/>
      <c r="C2498" s="11" t="s">
        <v>240</v>
      </c>
      <c r="D2498" s="11" t="s">
        <v>241</v>
      </c>
      <c r="E2498" s="11" t="s">
        <v>425</v>
      </c>
      <c r="F2498" s="11">
        <v>382</v>
      </c>
      <c r="G2498" s="11">
        <v>390</v>
      </c>
      <c r="H2498" s="11">
        <v>397</v>
      </c>
      <c r="I2498" s="11">
        <v>403</v>
      </c>
      <c r="J2498" s="28"/>
      <c r="K2498" s="28"/>
      <c r="L2498" s="28"/>
    </row>
    <row r="2499" spans="1:16" ht="15.75" customHeight="1" x14ac:dyDescent="0.35">
      <c r="A2499" t="s">
        <v>16</v>
      </c>
      <c r="B2499" s="20" t="s">
        <v>242</v>
      </c>
      <c r="C2499" s="30"/>
      <c r="D2499" s="30"/>
      <c r="E2499" s="23" t="s">
        <v>244</v>
      </c>
      <c r="F2499" s="23" t="s">
        <v>245</v>
      </c>
      <c r="G2499" s="23" t="s">
        <v>246</v>
      </c>
      <c r="H2499" s="23" t="s">
        <v>247</v>
      </c>
      <c r="I2499" s="23" t="s">
        <v>259</v>
      </c>
      <c r="O2499" s="4"/>
    </row>
    <row r="2500" spans="1:16" ht="1" customHeight="1" x14ac:dyDescent="0.35">
      <c r="B2500" s="24" t="s">
        <v>249</v>
      </c>
      <c r="C2500" s="25"/>
      <c r="D2500" s="25"/>
      <c r="E2500" s="25">
        <v>388</v>
      </c>
      <c r="F2500" s="25">
        <v>393</v>
      </c>
      <c r="G2500" s="25">
        <v>397</v>
      </c>
      <c r="H2500" s="25">
        <v>401</v>
      </c>
      <c r="I2500" s="25"/>
      <c r="J2500" t="s">
        <v>280</v>
      </c>
      <c r="K2500" t="s">
        <v>280</v>
      </c>
      <c r="L2500" t="s">
        <v>280</v>
      </c>
      <c r="O2500" t="e">
        <f>(O2498-3*O2497)/O2499</f>
        <v>#DIV/0!</v>
      </c>
    </row>
    <row r="2501" spans="1:16" ht="15.75" customHeight="1" x14ac:dyDescent="0.35">
      <c r="B2501" s="20" t="s">
        <v>250</v>
      </c>
      <c r="C2501" s="26">
        <v>0.19791666666666666</v>
      </c>
      <c r="D2501" s="26">
        <v>0.27777777777777779</v>
      </c>
      <c r="E2501" s="26">
        <v>0.38194444444444442</v>
      </c>
      <c r="F2501" s="26">
        <f>E2501+'Lookup Tables'!$N$1</f>
        <v>0.40277777777777773</v>
      </c>
      <c r="G2501" s="26">
        <f>F2501+'Lookup Tables'!$N$1</f>
        <v>0.42361111111111105</v>
      </c>
      <c r="H2501" s="26">
        <f>G2501+'Lookup Tables'!$N$1</f>
        <v>0.44444444444444436</v>
      </c>
      <c r="I2501" s="26">
        <f>H2501+'Lookup Tables'!$N$1</f>
        <v>0.46527777777777768</v>
      </c>
      <c r="N2501">
        <f>MAX(F2498:M2498)-O2501</f>
        <v>27</v>
      </c>
      <c r="O2501" t="str">
        <f>RIGHT(E2498,3)</f>
        <v>376</v>
      </c>
    </row>
    <row r="2502" spans="1:16" ht="15.75" customHeight="1" x14ac:dyDescent="0.35">
      <c r="B2502" s="20" t="s">
        <v>251</v>
      </c>
      <c r="C2502" s="27">
        <v>0.2</v>
      </c>
      <c r="D2502" s="27">
        <v>0.5</v>
      </c>
      <c r="E2502" s="27"/>
      <c r="F2502" s="27"/>
      <c r="G2502" s="27"/>
      <c r="H2502" s="27" t="s">
        <v>274</v>
      </c>
      <c r="I2502" s="27"/>
      <c r="N2502" t="str">
        <f xml:space="preserve">  N2501 &amp; " degrees this time"</f>
        <v>27 degrees this time</v>
      </c>
    </row>
    <row r="2503" spans="1:16" ht="15.75" customHeight="1" x14ac:dyDescent="0.35">
      <c r="B2503" s="20" t="s">
        <v>252</v>
      </c>
      <c r="C2503" s="27">
        <v>0.9</v>
      </c>
      <c r="D2503" s="27">
        <v>0.8</v>
      </c>
      <c r="E2503" s="27">
        <v>0.6</v>
      </c>
      <c r="F2503" s="27">
        <v>0.5</v>
      </c>
      <c r="G2503" s="27">
        <v>0.3</v>
      </c>
      <c r="H2503" s="27" t="s">
        <v>274</v>
      </c>
      <c r="I2503" s="27" t="s">
        <v>275</v>
      </c>
    </row>
    <row r="2504" spans="1:16" ht="15.75" customHeight="1" x14ac:dyDescent="0.35">
      <c r="B2504" s="20"/>
      <c r="C2504" s="30"/>
      <c r="D2504" s="11"/>
      <c r="E2504" s="11"/>
      <c r="F2504" s="11"/>
      <c r="H2504" s="1"/>
      <c r="J2504" s="35"/>
      <c r="K2504" s="35"/>
    </row>
    <row r="2505" spans="1:16" ht="15.75" customHeight="1" x14ac:dyDescent="0.35">
      <c r="G2505" s="1" t="s">
        <v>418</v>
      </c>
      <c r="K2505" s="32"/>
      <c r="L2505" s="9"/>
      <c r="M2505" s="9"/>
    </row>
    <row r="2506" spans="1:16" ht="15.75" customHeight="1" x14ac:dyDescent="0.35">
      <c r="B2506" s="20"/>
      <c r="G2506" s="1"/>
      <c r="H2506" s="1"/>
      <c r="K2506" s="32"/>
      <c r="L2506" s="9"/>
      <c r="M2506" s="9"/>
    </row>
    <row r="2507" spans="1:16" ht="15.75" customHeight="1" x14ac:dyDescent="0.35">
      <c r="B2507" s="20"/>
      <c r="G2507" s="1"/>
      <c r="H2507" s="1"/>
      <c r="K2507" s="32" t="s">
        <v>254</v>
      </c>
      <c r="L2507" s="9"/>
      <c r="M2507" s="9"/>
    </row>
    <row r="2508" spans="1:16" ht="15.75" customHeight="1" x14ac:dyDescent="0.35">
      <c r="B2508" s="9"/>
      <c r="C2508" s="9"/>
      <c r="D2508" s="9"/>
      <c r="E2508" s="9"/>
      <c r="F2508" s="12"/>
      <c r="G2508" s="12"/>
      <c r="H2508" s="12"/>
      <c r="I2508" s="12"/>
      <c r="J2508" s="12"/>
      <c r="K2508" s="12"/>
      <c r="L2508" s="1"/>
    </row>
    <row r="2509" spans="1:16" ht="15.75" customHeight="1" x14ac:dyDescent="0.35">
      <c r="B2509" s="13"/>
      <c r="C2509" s="13"/>
      <c r="D2509" s="13"/>
      <c r="E2509" s="13"/>
      <c r="F2509" s="13"/>
      <c r="G2509" s="13"/>
      <c r="I2509" s="14"/>
    </row>
    <row r="2510" spans="1:16" x14ac:dyDescent="0.35">
      <c r="B2510" s="13" t="s">
        <v>5</v>
      </c>
      <c r="C2510" s="13" t="s">
        <v>1</v>
      </c>
      <c r="D2510" s="15" t="str">
        <f>VLOOKUP(A2511,Inventory!$A$4:$K$1139,7)</f>
        <v xml:space="preserve">Klatch                             </v>
      </c>
      <c r="F2510" s="13" t="s">
        <v>235</v>
      </c>
      <c r="G2510" s="16"/>
      <c r="L2510" s="17"/>
      <c r="M2510" s="17"/>
    </row>
    <row r="2511" spans="1:16" x14ac:dyDescent="0.35">
      <c r="A2511">
        <v>162</v>
      </c>
      <c r="B2511" s="5">
        <v>44422</v>
      </c>
      <c r="C2511" s="15" t="str">
        <f>VLOOKUP(A2511,Inventory!$A$4:$K$1139,2)</f>
        <v>El Salvador Las Mercedes Caturra 2020</v>
      </c>
      <c r="F2511" s="34" t="s">
        <v>279</v>
      </c>
      <c r="G2511" s="2" t="s">
        <v>270</v>
      </c>
      <c r="L2511" s="17"/>
      <c r="M2511" s="17"/>
      <c r="P2511" s="8"/>
    </row>
    <row r="2512" spans="1:16" x14ac:dyDescent="0.35">
      <c r="L2512" s="19"/>
      <c r="M2512" s="19"/>
    </row>
    <row r="2513" spans="1:16" x14ac:dyDescent="0.35">
      <c r="B2513" s="20"/>
      <c r="C2513" s="11" t="s">
        <v>240</v>
      </c>
      <c r="D2513" s="11" t="s">
        <v>272</v>
      </c>
      <c r="E2513" s="11" t="s">
        <v>444</v>
      </c>
      <c r="F2513" s="11">
        <v>368</v>
      </c>
      <c r="G2513" s="11">
        <v>377</v>
      </c>
      <c r="H2513" s="11">
        <v>385</v>
      </c>
      <c r="I2513" s="11" t="s">
        <v>356</v>
      </c>
      <c r="J2513" s="11"/>
      <c r="K2513" s="28"/>
      <c r="L2513" s="28"/>
    </row>
    <row r="2514" spans="1:16" ht="15.75" customHeight="1" x14ac:dyDescent="0.35">
      <c r="B2514" s="20" t="s">
        <v>242</v>
      </c>
      <c r="C2514" s="21"/>
      <c r="D2514" s="22" t="s">
        <v>294</v>
      </c>
      <c r="E2514" s="23" t="s">
        <v>244</v>
      </c>
      <c r="F2514" s="23" t="s">
        <v>245</v>
      </c>
      <c r="G2514" s="23" t="s">
        <v>246</v>
      </c>
      <c r="H2514" s="23" t="s">
        <v>247</v>
      </c>
      <c r="O2514" s="4"/>
    </row>
    <row r="2515" spans="1:16" ht="1" customHeight="1" x14ac:dyDescent="0.35">
      <c r="B2515" s="24" t="s">
        <v>249</v>
      </c>
      <c r="C2515" s="25"/>
      <c r="D2515" s="25"/>
      <c r="E2515" s="25">
        <v>384</v>
      </c>
      <c r="F2515" s="25">
        <v>392</v>
      </c>
      <c r="G2515" s="25">
        <v>395</v>
      </c>
      <c r="H2515" s="25"/>
      <c r="O2515" t="e">
        <f>(O2513-3*O2512)/O2514</f>
        <v>#DIV/0!</v>
      </c>
    </row>
    <row r="2516" spans="1:16" ht="15.75" customHeight="1" x14ac:dyDescent="0.35">
      <c r="B2516" s="20" t="s">
        <v>250</v>
      </c>
      <c r="C2516" s="26">
        <v>0.22569444444444445</v>
      </c>
      <c r="D2516" s="26">
        <v>0.3125</v>
      </c>
      <c r="E2516" s="26">
        <v>0.36805555555555558</v>
      </c>
      <c r="F2516" s="26">
        <f>E2516+'Lookup Tables'!$N$1</f>
        <v>0.3888888888888889</v>
      </c>
      <c r="G2516" s="26">
        <f>F2516+'Lookup Tables'!$N$1</f>
        <v>0.40972222222222221</v>
      </c>
      <c r="H2516" s="26">
        <f>G2516+'Lookup Tables'!$N$1</f>
        <v>0.43055555555555552</v>
      </c>
      <c r="N2516">
        <f>MAX(F2513:M2513)-O2516</f>
        <v>25</v>
      </c>
      <c r="O2516" t="str">
        <f>RIGHT(E2513,3)</f>
        <v>360</v>
      </c>
    </row>
    <row r="2517" spans="1:16" ht="15.75" customHeight="1" x14ac:dyDescent="0.35">
      <c r="B2517" s="20" t="s">
        <v>251</v>
      </c>
      <c r="C2517" s="27">
        <v>0.2</v>
      </c>
      <c r="D2517" s="27">
        <v>0.5</v>
      </c>
      <c r="E2517" s="27"/>
      <c r="F2517" s="27" t="s">
        <v>274</v>
      </c>
      <c r="G2517" s="27"/>
      <c r="H2517" s="27"/>
      <c r="N2517" t="str">
        <f xml:space="preserve">  N2516 &amp; " degrees this time"</f>
        <v>25 degrees this time</v>
      </c>
    </row>
    <row r="2518" spans="1:16" ht="15.75" customHeight="1" x14ac:dyDescent="0.35">
      <c r="B2518" s="20" t="s">
        <v>252</v>
      </c>
      <c r="C2518" s="27">
        <v>0.9</v>
      </c>
      <c r="D2518" s="27">
        <v>0.8</v>
      </c>
      <c r="E2518" s="27">
        <v>0.5</v>
      </c>
      <c r="F2518" s="27" t="s">
        <v>274</v>
      </c>
      <c r="G2518" s="27"/>
      <c r="H2518" s="27" t="s">
        <v>275</v>
      </c>
    </row>
    <row r="2519" spans="1:16" ht="15.75" customHeight="1" x14ac:dyDescent="0.35">
      <c r="B2519" s="20"/>
      <c r="C2519" s="30"/>
      <c r="H2519" s="13"/>
      <c r="I2519" s="13"/>
      <c r="J2519" s="35"/>
    </row>
    <row r="2520" spans="1:16" ht="15.75" customHeight="1" x14ac:dyDescent="0.35">
      <c r="C2520" s="30"/>
      <c r="G2520" s="1" t="s">
        <v>344</v>
      </c>
      <c r="K2520" s="32" t="s">
        <v>345</v>
      </c>
      <c r="L2520" s="9"/>
      <c r="M2520" s="9"/>
    </row>
    <row r="2521" spans="1:16" ht="15.75" customHeight="1" x14ac:dyDescent="0.35">
      <c r="B2521" s="20"/>
      <c r="G2521" s="1"/>
      <c r="H2521" s="1"/>
      <c r="K2521" s="32"/>
      <c r="L2521" s="9"/>
      <c r="M2521" s="9"/>
    </row>
    <row r="2522" spans="1:16" ht="15.75" customHeight="1" x14ac:dyDescent="0.35">
      <c r="B2522" s="20"/>
      <c r="G2522" s="1"/>
      <c r="H2522" s="1"/>
      <c r="K2522" s="32" t="s">
        <v>277</v>
      </c>
      <c r="L2522" s="9"/>
      <c r="M2522" s="9"/>
    </row>
    <row r="2523" spans="1:16" ht="15.75" customHeight="1" x14ac:dyDescent="0.35">
      <c r="B2523" s="9"/>
      <c r="C2523" s="9"/>
      <c r="D2523" s="9"/>
      <c r="E2523" s="9"/>
      <c r="F2523" s="12"/>
      <c r="G2523" s="12"/>
      <c r="H2523" s="12"/>
      <c r="I2523" s="12"/>
      <c r="J2523" s="12"/>
      <c r="K2523" s="12"/>
      <c r="L2523" s="1"/>
    </row>
    <row r="2524" spans="1:16" ht="15.75" customHeight="1" x14ac:dyDescent="0.35">
      <c r="B2524" s="13"/>
      <c r="C2524" s="13"/>
      <c r="D2524" s="13"/>
      <c r="E2524" s="13"/>
      <c r="F2524" s="33" t="s">
        <v>381</v>
      </c>
      <c r="G2524" s="13"/>
      <c r="H2524" s="14"/>
      <c r="I2524" s="13"/>
    </row>
    <row r="2525" spans="1:16" x14ac:dyDescent="0.35">
      <c r="B2525" s="13" t="s">
        <v>5</v>
      </c>
      <c r="C2525" s="13" t="s">
        <v>1</v>
      </c>
      <c r="D2525" s="15" t="str">
        <f>VLOOKUP(A2526,Inventory!$A$4:$K$1139,7)</f>
        <v xml:space="preserve">GCBC                               </v>
      </c>
      <c r="F2525" s="13" t="s">
        <v>235</v>
      </c>
      <c r="G2525" s="16"/>
      <c r="J2525" s="8"/>
      <c r="K2525" s="17"/>
      <c r="L2525" s="17"/>
      <c r="M2525" s="17"/>
    </row>
    <row r="2526" spans="1:16" x14ac:dyDescent="0.35">
      <c r="A2526">
        <v>148</v>
      </c>
      <c r="B2526" s="5">
        <v>44380</v>
      </c>
      <c r="C2526" s="15" t="str">
        <f>VLOOKUP(A2526,Inventory!$A$4:$K$1139,2)</f>
        <v>Costa Rica - La Pastora Tarrazu 2018</v>
      </c>
      <c r="F2526" s="34" t="s">
        <v>279</v>
      </c>
      <c r="G2526" s="2" t="s">
        <v>270</v>
      </c>
      <c r="K2526" s="17"/>
      <c r="L2526" s="17"/>
      <c r="M2526" s="17"/>
      <c r="P2526" s="8"/>
    </row>
    <row r="2527" spans="1:16" x14ac:dyDescent="0.35">
      <c r="G2527" s="16"/>
      <c r="J2527" s="19"/>
      <c r="K2527" s="19"/>
      <c r="L2527" s="19"/>
      <c r="M2527" s="19"/>
    </row>
    <row r="2528" spans="1:16" x14ac:dyDescent="0.35">
      <c r="B2528" s="20"/>
      <c r="C2528" s="11" t="s">
        <v>240</v>
      </c>
      <c r="D2528" s="11" t="s">
        <v>272</v>
      </c>
      <c r="E2528" s="11" t="s">
        <v>430</v>
      </c>
      <c r="F2528" s="11">
        <v>377</v>
      </c>
      <c r="G2528" s="11">
        <v>385</v>
      </c>
      <c r="H2528" s="11">
        <v>395</v>
      </c>
      <c r="I2528" s="11" t="s">
        <v>356</v>
      </c>
      <c r="J2528" s="11"/>
      <c r="K2528" s="11"/>
      <c r="L2528" s="28"/>
    </row>
    <row r="2529" spans="1:16" ht="15.75" customHeight="1" x14ac:dyDescent="0.35">
      <c r="B2529" s="20" t="s">
        <v>242</v>
      </c>
      <c r="C2529" s="30"/>
      <c r="D2529" s="30"/>
      <c r="E2529" s="23" t="s">
        <v>244</v>
      </c>
      <c r="F2529" s="23" t="s">
        <v>245</v>
      </c>
      <c r="G2529" s="23" t="s">
        <v>246</v>
      </c>
      <c r="H2529" s="23" t="s">
        <v>247</v>
      </c>
      <c r="I2529" s="23" t="s">
        <v>248</v>
      </c>
      <c r="O2529" s="4"/>
    </row>
    <row r="2530" spans="1:16" ht="1" customHeight="1" x14ac:dyDescent="0.35">
      <c r="B2530" s="24" t="s">
        <v>249</v>
      </c>
      <c r="C2530" s="25"/>
      <c r="D2530" s="25"/>
      <c r="E2530" s="25"/>
      <c r="F2530" s="25"/>
      <c r="G2530" s="25"/>
      <c r="H2530" s="25"/>
      <c r="I2530" s="25"/>
      <c r="O2530" t="e">
        <f>(O2528-3*O2527)/O2529</f>
        <v>#DIV/0!</v>
      </c>
    </row>
    <row r="2531" spans="1:16" ht="15.75" customHeight="1" x14ac:dyDescent="0.35">
      <c r="B2531" s="20" t="s">
        <v>250</v>
      </c>
      <c r="C2531" s="26">
        <v>0.21527777777777779</v>
      </c>
      <c r="D2531" s="26">
        <v>0.2986111111111111</v>
      </c>
      <c r="E2531" s="26">
        <v>0.37152777777777773</v>
      </c>
      <c r="F2531" s="26">
        <f>E2531+'Lookup Tables'!$N$1</f>
        <v>0.39236111111111105</v>
      </c>
      <c r="G2531" s="26">
        <f>F2531+'Lookup Tables'!$N$1</f>
        <v>0.41319444444444436</v>
      </c>
      <c r="H2531" s="26">
        <f>G2531+'Lookup Tables'!$N$1</f>
        <v>0.43402777777777768</v>
      </c>
      <c r="I2531" s="26">
        <f>H2531+'Lookup Tables'!$S$1</f>
        <v>0.44444444444444436</v>
      </c>
      <c r="N2531">
        <f>MAX(F2528:M2528)-O2531</f>
        <v>27</v>
      </c>
      <c r="O2531" t="str">
        <f>RIGHT(E2528,3)</f>
        <v>368</v>
      </c>
    </row>
    <row r="2532" spans="1:16" ht="15.75" customHeight="1" x14ac:dyDescent="0.35">
      <c r="B2532" s="20" t="s">
        <v>251</v>
      </c>
      <c r="C2532" s="27">
        <v>0.2</v>
      </c>
      <c r="D2532" s="27">
        <v>0.5</v>
      </c>
      <c r="E2532" s="25"/>
      <c r="F2532" s="27"/>
      <c r="G2532" s="27"/>
      <c r="H2532" s="25" t="s">
        <v>274</v>
      </c>
      <c r="I2532" s="27"/>
      <c r="N2532" t="str">
        <f xml:space="preserve">  N2531 &amp; " degrees this time"</f>
        <v>27 degrees this time</v>
      </c>
    </row>
    <row r="2533" spans="1:16" ht="15.75" customHeight="1" x14ac:dyDescent="0.35">
      <c r="B2533" s="20" t="s">
        <v>252</v>
      </c>
      <c r="C2533" s="27">
        <v>0.9</v>
      </c>
      <c r="D2533" s="27">
        <v>0.8</v>
      </c>
      <c r="E2533" s="27">
        <v>0.6</v>
      </c>
      <c r="F2533" s="27"/>
      <c r="G2533" s="27"/>
      <c r="H2533" s="25" t="s">
        <v>274</v>
      </c>
      <c r="I2533" s="27" t="s">
        <v>275</v>
      </c>
    </row>
    <row r="2534" spans="1:16" ht="15.75" customHeight="1" x14ac:dyDescent="0.35">
      <c r="B2534" s="20"/>
      <c r="C2534" s="30"/>
      <c r="D2534" s="11"/>
      <c r="E2534" s="11"/>
      <c r="F2534" s="11"/>
      <c r="G2534" s="1"/>
      <c r="H2534" s="1"/>
      <c r="I2534" s="1"/>
    </row>
    <row r="2535" spans="1:16" ht="15.75" customHeight="1" x14ac:dyDescent="0.35">
      <c r="B2535" s="20"/>
      <c r="C2535" s="30"/>
      <c r="D2535" s="11"/>
      <c r="E2535" s="11"/>
      <c r="F2535" s="11"/>
      <c r="G2535" s="1" t="s">
        <v>445</v>
      </c>
      <c r="K2535" s="32" t="s">
        <v>446</v>
      </c>
      <c r="L2535" s="9"/>
      <c r="M2535" s="9"/>
    </row>
    <row r="2536" spans="1:16" ht="15.75" customHeight="1" x14ac:dyDescent="0.35">
      <c r="B2536" s="20"/>
      <c r="G2536" s="1"/>
      <c r="H2536" s="1"/>
      <c r="K2536" s="32"/>
      <c r="L2536" s="9"/>
      <c r="M2536" s="9"/>
    </row>
    <row r="2537" spans="1:16" ht="15.75" customHeight="1" x14ac:dyDescent="0.35">
      <c r="B2537" s="20"/>
      <c r="G2537" s="1"/>
      <c r="H2537" s="1"/>
      <c r="K2537" s="9" t="s">
        <v>254</v>
      </c>
      <c r="L2537" s="9"/>
      <c r="M2537" s="9"/>
    </row>
    <row r="2538" spans="1:16" ht="15.75" customHeight="1" x14ac:dyDescent="0.35">
      <c r="B2538" s="9"/>
      <c r="C2538" s="9"/>
      <c r="D2538" s="9"/>
      <c r="E2538" s="9"/>
      <c r="F2538" s="12"/>
      <c r="G2538" s="12"/>
      <c r="H2538" s="12"/>
      <c r="I2538" s="12"/>
      <c r="J2538" s="12"/>
      <c r="K2538" s="12"/>
      <c r="L2538" s="1"/>
    </row>
    <row r="2539" spans="1:16" ht="15.75" customHeight="1" x14ac:dyDescent="0.35">
      <c r="B2539" s="13"/>
      <c r="C2539" s="13"/>
      <c r="D2539" s="15"/>
      <c r="G2539" s="16"/>
      <c r="I2539" s="14"/>
    </row>
    <row r="2540" spans="1:16" x14ac:dyDescent="0.35">
      <c r="B2540" s="13" t="s">
        <v>5</v>
      </c>
      <c r="C2540" s="13" t="s">
        <v>1</v>
      </c>
      <c r="D2540" s="15" t="str">
        <f>VLOOKUP(A2541,Inventory!$A$4:$K$1139,7)</f>
        <v>Coffee Bean corral</v>
      </c>
      <c r="F2540" s="13" t="s">
        <v>235</v>
      </c>
      <c r="G2540" s="16"/>
      <c r="L2540" s="17"/>
      <c r="M2540" s="17"/>
    </row>
    <row r="2541" spans="1:16" x14ac:dyDescent="0.35">
      <c r="A2541">
        <v>151</v>
      </c>
      <c r="B2541" s="5">
        <v>44380</v>
      </c>
      <c r="C2541" s="15" t="str">
        <f>VLOOKUP(A2541,Inventory!$A$4:$K$1139,2)</f>
        <v>Yemen Mocca Ismaili Natural 2018</v>
      </c>
      <c r="F2541" s="34" t="s">
        <v>279</v>
      </c>
      <c r="G2541" s="2" t="s">
        <v>286</v>
      </c>
      <c r="L2541" s="17"/>
      <c r="M2541" s="17"/>
      <c r="P2541" s="8"/>
    </row>
    <row r="2542" spans="1:16" x14ac:dyDescent="0.35">
      <c r="B2542" t="s">
        <v>16</v>
      </c>
      <c r="G2542" s="16"/>
      <c r="L2542" s="19"/>
      <c r="M2542" s="19"/>
    </row>
    <row r="2543" spans="1:16" x14ac:dyDescent="0.35">
      <c r="B2543" s="20"/>
      <c r="C2543" s="11" t="s">
        <v>240</v>
      </c>
      <c r="D2543" s="11" t="s">
        <v>272</v>
      </c>
      <c r="E2543" s="11" t="s">
        <v>447</v>
      </c>
      <c r="F2543" s="11">
        <v>383</v>
      </c>
      <c r="G2543" s="11">
        <v>391</v>
      </c>
      <c r="H2543" s="11">
        <v>395</v>
      </c>
      <c r="I2543" s="11" t="s">
        <v>370</v>
      </c>
      <c r="J2543" s="11"/>
      <c r="K2543" s="11"/>
      <c r="L2543" s="28"/>
    </row>
    <row r="2544" spans="1:16" ht="15.75" customHeight="1" x14ac:dyDescent="0.35">
      <c r="B2544" s="20" t="s">
        <v>242</v>
      </c>
      <c r="C2544" s="21"/>
      <c r="D2544" s="22" t="s">
        <v>294</v>
      </c>
      <c r="E2544" s="23" t="s">
        <v>244</v>
      </c>
      <c r="F2544" s="23" t="s">
        <v>245</v>
      </c>
      <c r="G2544" s="23" t="s">
        <v>246</v>
      </c>
      <c r="H2544" s="23" t="s">
        <v>273</v>
      </c>
      <c r="O2544" s="4"/>
    </row>
    <row r="2545" spans="1:16" ht="1" customHeight="1" x14ac:dyDescent="0.35">
      <c r="B2545" s="24" t="s">
        <v>249</v>
      </c>
      <c r="C2545" s="25">
        <v>320</v>
      </c>
      <c r="D2545" s="25">
        <v>350</v>
      </c>
      <c r="E2545" s="25"/>
      <c r="F2545" s="25"/>
      <c r="G2545" s="25"/>
      <c r="H2545" s="23" t="s">
        <v>247</v>
      </c>
      <c r="O2545" t="e">
        <f>(O2543-3*O2542)/O2544</f>
        <v>#DIV/0!</v>
      </c>
    </row>
    <row r="2546" spans="1:16" ht="15.75" customHeight="1" x14ac:dyDescent="0.35">
      <c r="B2546" s="20" t="s">
        <v>250</v>
      </c>
      <c r="C2546" s="26">
        <v>0.21180555555555555</v>
      </c>
      <c r="D2546" s="26">
        <v>0.2986111111111111</v>
      </c>
      <c r="E2546" s="26">
        <v>0.37847222222222227</v>
      </c>
      <c r="F2546" s="26">
        <f>E2546+'Lookup Tables'!$N$1</f>
        <v>0.39930555555555558</v>
      </c>
      <c r="G2546" s="26">
        <f>F2546+'Lookup Tables'!$N$1</f>
        <v>0.4201388888888889</v>
      </c>
      <c r="H2546" s="26">
        <f>G2546+'Lookup Tables'!$S$1</f>
        <v>0.43055555555555558</v>
      </c>
      <c r="I2546" s="11"/>
      <c r="J2546" s="11"/>
      <c r="K2546" s="11"/>
      <c r="N2546">
        <f>MAX(F2543:M2543)-O2546</f>
        <v>21</v>
      </c>
      <c r="O2546" t="str">
        <f>RIGHT(E2543,3)</f>
        <v>374</v>
      </c>
    </row>
    <row r="2547" spans="1:16" ht="15.75" customHeight="1" x14ac:dyDescent="0.35">
      <c r="B2547" s="20" t="s">
        <v>251</v>
      </c>
      <c r="C2547" s="27">
        <v>0.2</v>
      </c>
      <c r="D2547" s="27">
        <v>0.5</v>
      </c>
      <c r="E2547" s="27"/>
      <c r="F2547" s="27"/>
      <c r="G2547" s="27">
        <v>0.25</v>
      </c>
      <c r="H2547" s="27"/>
      <c r="N2547" t="str">
        <f xml:space="preserve">  N2546 &amp; " degrees this time"</f>
        <v>21 degrees this time</v>
      </c>
    </row>
    <row r="2548" spans="1:16" ht="15.75" customHeight="1" x14ac:dyDescent="0.35">
      <c r="B2548" s="20" t="s">
        <v>252</v>
      </c>
      <c r="C2548" s="27">
        <v>0.9</v>
      </c>
      <c r="D2548" s="27">
        <v>0.7</v>
      </c>
      <c r="E2548" s="27">
        <v>0.4</v>
      </c>
      <c r="F2548" s="27"/>
      <c r="G2548" s="27"/>
      <c r="H2548" s="27" t="s">
        <v>275</v>
      </c>
    </row>
    <row r="2549" spans="1:16" ht="15.75" customHeight="1" x14ac:dyDescent="0.35">
      <c r="B2549" s="20"/>
      <c r="D2549" s="11"/>
      <c r="E2549" s="40"/>
      <c r="F2549" s="11"/>
      <c r="G2549" s="11"/>
      <c r="K2549" s="32" t="s">
        <v>402</v>
      </c>
      <c r="L2549" s="9"/>
      <c r="M2549" s="9"/>
    </row>
    <row r="2550" spans="1:16" ht="15.75" customHeight="1" x14ac:dyDescent="0.35">
      <c r="B2550" s="38"/>
      <c r="D2550" s="15"/>
      <c r="F2550" s="13"/>
      <c r="G2550" s="1" t="s">
        <v>403</v>
      </c>
      <c r="K2550" s="32"/>
      <c r="L2550" s="9"/>
      <c r="M2550" s="9"/>
    </row>
    <row r="2551" spans="1:16" ht="15.75" customHeight="1" x14ac:dyDescent="0.35">
      <c r="B2551" s="20"/>
      <c r="G2551" s="1"/>
      <c r="H2551" s="1"/>
      <c r="K2551" s="9"/>
      <c r="L2551" s="9"/>
      <c r="M2551" s="9"/>
    </row>
    <row r="2552" spans="1:16" ht="15.75" customHeight="1" x14ac:dyDescent="0.35">
      <c r="B2552" s="20"/>
      <c r="G2552" s="1"/>
      <c r="H2552" s="1"/>
      <c r="K2552" s="9" t="s">
        <v>297</v>
      </c>
      <c r="L2552" s="9"/>
      <c r="M2552" s="9"/>
    </row>
    <row r="2553" spans="1:16" ht="15.75" customHeight="1" x14ac:dyDescent="0.35">
      <c r="B2553" s="9"/>
      <c r="C2553" s="9"/>
      <c r="D2553" s="9"/>
      <c r="E2553" s="9"/>
      <c r="F2553" s="12"/>
      <c r="G2553" s="12"/>
      <c r="H2553" s="12"/>
      <c r="I2553" s="12"/>
      <c r="J2553" s="12"/>
      <c r="K2553" s="12"/>
      <c r="L2553" s="1"/>
    </row>
    <row r="2554" spans="1:16" ht="15.75" customHeight="1" x14ac:dyDescent="0.35">
      <c r="B2554" s="13"/>
      <c r="C2554" s="13"/>
      <c r="D2554" s="15"/>
      <c r="G2554" s="16"/>
      <c r="H2554" s="14" t="s">
        <v>255</v>
      </c>
      <c r="I2554" s="14"/>
    </row>
    <row r="2555" spans="1:16" x14ac:dyDescent="0.35">
      <c r="B2555" s="13" t="s">
        <v>5</v>
      </c>
      <c r="C2555" s="13" t="s">
        <v>1</v>
      </c>
      <c r="D2555" s="15" t="str">
        <f>VLOOKUP(A2556,Inventory!$A$4:$K$1139,7)</f>
        <v xml:space="preserve">Sweet Marias                       </v>
      </c>
      <c r="F2555" s="13" t="s">
        <v>235</v>
      </c>
      <c r="G2555" s="16"/>
      <c r="L2555" s="17"/>
      <c r="M2555" s="17"/>
    </row>
    <row r="2556" spans="1:16" x14ac:dyDescent="0.35">
      <c r="A2556">
        <v>153</v>
      </c>
      <c r="B2556" s="5">
        <v>44380</v>
      </c>
      <c r="C2556" s="15" t="str">
        <f>VLOOKUP(A2556,Inventory!$A$4:$K$1139,2)</f>
        <v>Yemen Mokha Matari 2019</v>
      </c>
      <c r="F2556" s="31" t="s">
        <v>291</v>
      </c>
      <c r="G2556" s="2" t="s">
        <v>286</v>
      </c>
      <c r="L2556" s="17"/>
      <c r="M2556" s="17"/>
      <c r="P2556" s="8"/>
    </row>
    <row r="2557" spans="1:16" x14ac:dyDescent="0.35">
      <c r="B2557" t="s">
        <v>16</v>
      </c>
      <c r="G2557" s="16"/>
      <c r="L2557" s="19"/>
      <c r="M2557" s="19"/>
    </row>
    <row r="2558" spans="1:16" x14ac:dyDescent="0.35">
      <c r="B2558" s="20"/>
      <c r="C2558" s="11" t="s">
        <v>240</v>
      </c>
      <c r="D2558" s="11" t="s">
        <v>272</v>
      </c>
      <c r="E2558" s="11" t="s">
        <v>448</v>
      </c>
      <c r="F2558" s="11">
        <v>392</v>
      </c>
      <c r="G2558" s="11">
        <v>400</v>
      </c>
      <c r="H2558" s="11">
        <v>404</v>
      </c>
      <c r="I2558" s="11">
        <v>406</v>
      </c>
      <c r="J2558" s="11"/>
      <c r="K2558" s="11"/>
      <c r="L2558" s="28"/>
    </row>
    <row r="2559" spans="1:16" ht="15.75" customHeight="1" x14ac:dyDescent="0.35">
      <c r="B2559" s="20" t="s">
        <v>242</v>
      </c>
      <c r="C2559" s="21"/>
      <c r="D2559" s="22" t="s">
        <v>294</v>
      </c>
      <c r="E2559" s="23" t="s">
        <v>244</v>
      </c>
      <c r="F2559" s="23" t="s">
        <v>245</v>
      </c>
      <c r="G2559" s="23" t="s">
        <v>246</v>
      </c>
      <c r="H2559" s="23" t="s">
        <v>273</v>
      </c>
      <c r="I2559" s="23" t="s">
        <v>247</v>
      </c>
      <c r="O2559" s="4"/>
    </row>
    <row r="2560" spans="1:16" ht="1" customHeight="1" x14ac:dyDescent="0.35">
      <c r="B2560" s="24" t="s">
        <v>249</v>
      </c>
      <c r="C2560" s="25">
        <v>320</v>
      </c>
      <c r="D2560" s="25">
        <v>350</v>
      </c>
      <c r="E2560" s="25"/>
      <c r="F2560" s="25"/>
      <c r="G2560" s="25"/>
      <c r="H2560" s="23" t="s">
        <v>247</v>
      </c>
      <c r="I2560" s="25"/>
      <c r="O2560" t="e">
        <f>(O2558-3*O2557)/O2559</f>
        <v>#DIV/0!</v>
      </c>
    </row>
    <row r="2561" spans="1:16" ht="15.75" customHeight="1" x14ac:dyDescent="0.35">
      <c r="B2561" s="20" t="s">
        <v>250</v>
      </c>
      <c r="C2561" s="26">
        <v>0.18402777777777779</v>
      </c>
      <c r="D2561" s="26">
        <v>0.27430555555555552</v>
      </c>
      <c r="E2561" s="26">
        <v>0.3888888888888889</v>
      </c>
      <c r="F2561" s="26">
        <f>E2561+'Lookup Tables'!$N$1</f>
        <v>0.40972222222222221</v>
      </c>
      <c r="G2561" s="26">
        <f>F2561+'Lookup Tables'!$N$1</f>
        <v>0.43055555555555552</v>
      </c>
      <c r="H2561" s="26">
        <f>G2561+'Lookup Tables'!$S$1</f>
        <v>0.44097222222222221</v>
      </c>
      <c r="I2561" s="26">
        <f>H2561+'Lookup Tables'!$S$1</f>
        <v>0.4513888888888889</v>
      </c>
      <c r="J2561" s="11"/>
      <c r="K2561" s="11"/>
      <c r="N2561">
        <f>MAX(F2558:M2558)-O2561</f>
        <v>22</v>
      </c>
      <c r="O2561" t="str">
        <f>RIGHT(E2558,3)</f>
        <v>384</v>
      </c>
    </row>
    <row r="2562" spans="1:16" ht="15.75" customHeight="1" x14ac:dyDescent="0.35">
      <c r="B2562" s="20" t="s">
        <v>251</v>
      </c>
      <c r="C2562" s="27">
        <v>0.2</v>
      </c>
      <c r="D2562" s="27">
        <v>0.5</v>
      </c>
      <c r="E2562" s="27"/>
      <c r="F2562" s="27"/>
      <c r="G2562" s="27">
        <v>0.25</v>
      </c>
      <c r="H2562" s="27"/>
      <c r="I2562" s="27"/>
      <c r="N2562" t="str">
        <f xml:space="preserve">  N2561 &amp; " degrees this time"</f>
        <v>22 degrees this time</v>
      </c>
    </row>
    <row r="2563" spans="1:16" ht="15.75" customHeight="1" x14ac:dyDescent="0.35">
      <c r="B2563" s="20" t="s">
        <v>252</v>
      </c>
      <c r="C2563" s="27">
        <v>0.9</v>
      </c>
      <c r="D2563" s="27">
        <v>0.7</v>
      </c>
      <c r="E2563" s="27">
        <v>0.7</v>
      </c>
      <c r="F2563" s="27">
        <v>0.5</v>
      </c>
      <c r="G2563" s="27"/>
      <c r="H2563" s="27"/>
      <c r="I2563" s="27" t="s">
        <v>275</v>
      </c>
    </row>
    <row r="2564" spans="1:16" ht="15.75" customHeight="1" x14ac:dyDescent="0.35">
      <c r="B2564" s="20"/>
      <c r="D2564" s="11"/>
      <c r="E2564" s="40"/>
      <c r="F2564" s="11"/>
      <c r="G2564" s="11"/>
      <c r="K2564" s="32" t="s">
        <v>314</v>
      </c>
      <c r="L2564" s="9"/>
      <c r="M2564" s="9"/>
    </row>
    <row r="2565" spans="1:16" ht="15.75" customHeight="1" x14ac:dyDescent="0.35">
      <c r="B2565" s="38"/>
      <c r="D2565" s="15"/>
      <c r="F2565" s="13"/>
      <c r="G2565" s="1" t="s">
        <v>296</v>
      </c>
      <c r="K2565" s="32"/>
      <c r="L2565" s="9"/>
      <c r="M2565" s="9"/>
    </row>
    <row r="2566" spans="1:16" ht="15.75" customHeight="1" x14ac:dyDescent="0.35">
      <c r="B2566" s="20"/>
      <c r="G2566" s="1"/>
      <c r="H2566" s="1"/>
      <c r="K2566" s="9"/>
      <c r="L2566" s="9"/>
      <c r="M2566" s="9"/>
    </row>
    <row r="2567" spans="1:16" ht="15.75" customHeight="1" x14ac:dyDescent="0.35">
      <c r="B2567" s="20"/>
      <c r="G2567" s="1"/>
      <c r="H2567" s="1"/>
      <c r="K2567" s="9" t="s">
        <v>297</v>
      </c>
      <c r="L2567" s="9"/>
      <c r="M2567" s="9"/>
    </row>
    <row r="2568" spans="1:16" ht="15.75" customHeight="1" x14ac:dyDescent="0.35">
      <c r="B2568" s="9"/>
      <c r="C2568" s="9"/>
      <c r="D2568" s="9"/>
      <c r="E2568" s="9"/>
      <c r="F2568" s="12"/>
      <c r="G2568" s="12"/>
      <c r="H2568" s="12"/>
      <c r="I2568" s="12"/>
      <c r="J2568" s="12"/>
      <c r="K2568" s="12"/>
      <c r="L2568" s="1"/>
    </row>
    <row r="2569" spans="1:16" ht="15.75" customHeight="1" x14ac:dyDescent="0.35">
      <c r="B2569" s="13"/>
      <c r="C2569" s="13"/>
      <c r="D2569" s="15"/>
      <c r="F2569" s="33" t="s">
        <v>449</v>
      </c>
      <c r="H2569" s="14" t="s">
        <v>255</v>
      </c>
    </row>
    <row r="2570" spans="1:16" x14ac:dyDescent="0.35">
      <c r="B2570" s="13" t="s">
        <v>5</v>
      </c>
      <c r="C2570" s="13" t="s">
        <v>1</v>
      </c>
      <c r="D2570" s="15" t="str">
        <f>VLOOKUP(A2571,Inventory!$A$4:$K$1139,7)</f>
        <v>Burman Coffee</v>
      </c>
      <c r="F2570" s="13" t="s">
        <v>235</v>
      </c>
      <c r="G2570" s="16"/>
      <c r="L2570" s="17"/>
      <c r="M2570" s="17"/>
    </row>
    <row r="2571" spans="1:16" x14ac:dyDescent="0.35">
      <c r="A2571">
        <v>165</v>
      </c>
      <c r="B2571" s="5">
        <v>44380</v>
      </c>
      <c r="C2571" s="15" t="str">
        <f>VLOOKUP(A2571,Inventory!$A$4:$K$1139,2)</f>
        <v>Ethiopian Guji Natural - Shakiso 2020</v>
      </c>
      <c r="F2571" s="31" t="s">
        <v>291</v>
      </c>
      <c r="G2571" s="2" t="s">
        <v>286</v>
      </c>
      <c r="L2571" s="17"/>
      <c r="M2571" s="17"/>
      <c r="P2571" s="8"/>
    </row>
    <row r="2572" spans="1:16" x14ac:dyDescent="0.35">
      <c r="F2572" s="11"/>
      <c r="G2572" s="11"/>
      <c r="H2572" s="11"/>
      <c r="I2572" s="11"/>
      <c r="J2572" s="11"/>
      <c r="K2572" s="11"/>
      <c r="L2572" s="28"/>
      <c r="M2572" s="36"/>
    </row>
    <row r="2573" spans="1:16" x14ac:dyDescent="0.35">
      <c r="B2573" s="20"/>
      <c r="C2573" s="11" t="s">
        <v>240</v>
      </c>
      <c r="D2573" s="11" t="s">
        <v>272</v>
      </c>
      <c r="E2573" s="11" t="s">
        <v>319</v>
      </c>
      <c r="F2573" s="11">
        <v>383</v>
      </c>
      <c r="G2573" s="11">
        <v>391</v>
      </c>
      <c r="H2573" s="11">
        <v>401</v>
      </c>
      <c r="I2573" s="11" t="s">
        <v>356</v>
      </c>
      <c r="J2573" s="11"/>
      <c r="K2573" s="11"/>
      <c r="L2573" s="28"/>
    </row>
    <row r="2574" spans="1:16" ht="15.75" customHeight="1" x14ac:dyDescent="0.35">
      <c r="B2574" s="20" t="s">
        <v>242</v>
      </c>
      <c r="C2574" s="30"/>
      <c r="D2574" s="30"/>
      <c r="E2574" s="23" t="s">
        <v>244</v>
      </c>
      <c r="F2574" s="23" t="s">
        <v>245</v>
      </c>
      <c r="G2574" s="23" t="s">
        <v>246</v>
      </c>
      <c r="H2574" s="23" t="s">
        <v>247</v>
      </c>
      <c r="I2574" s="23" t="s">
        <v>248</v>
      </c>
      <c r="O2574" s="4"/>
    </row>
    <row r="2575" spans="1:16" ht="1" customHeight="1" x14ac:dyDescent="0.35">
      <c r="B2575" s="24" t="s">
        <v>249</v>
      </c>
      <c r="C2575" s="25"/>
      <c r="D2575" s="25"/>
      <c r="E2575" s="25"/>
      <c r="F2575" s="25"/>
      <c r="G2575" s="25"/>
      <c r="H2575" s="25"/>
      <c r="I2575" s="25"/>
      <c r="O2575" t="e">
        <f>(O2573-3*O2572)/O2574</f>
        <v>#DIV/0!</v>
      </c>
    </row>
    <row r="2576" spans="1:16" ht="15.75" customHeight="1" x14ac:dyDescent="0.35">
      <c r="B2576" s="20" t="s">
        <v>250</v>
      </c>
      <c r="C2576" s="26">
        <v>0.1875</v>
      </c>
      <c r="D2576" s="26">
        <v>0.27083333333333331</v>
      </c>
      <c r="E2576" s="26">
        <v>0.3611111111111111</v>
      </c>
      <c r="F2576" s="26">
        <f>E2576+'Lookup Tables'!$N$1</f>
        <v>0.38194444444444442</v>
      </c>
      <c r="G2576" s="26">
        <f>F2576+'Lookup Tables'!$N$1</f>
        <v>0.40277777777777773</v>
      </c>
      <c r="H2576" s="26">
        <f>G2576+'Lookup Tables'!$N$1</f>
        <v>0.42361111111111105</v>
      </c>
      <c r="I2576" s="26">
        <f>H2576+'Lookup Tables'!$S$1</f>
        <v>0.43402777777777773</v>
      </c>
      <c r="N2576">
        <f>MAX(F2573:M2573)-O2576</f>
        <v>28</v>
      </c>
      <c r="O2576" t="str">
        <f>RIGHT(E2573,3)</f>
        <v>373</v>
      </c>
    </row>
    <row r="2577" spans="1:16" ht="15.75" customHeight="1" x14ac:dyDescent="0.35">
      <c r="B2577" s="20" t="s">
        <v>251</v>
      </c>
      <c r="C2577" s="27">
        <v>0.2</v>
      </c>
      <c r="D2577" s="27">
        <v>0.5</v>
      </c>
      <c r="E2577" s="27"/>
      <c r="F2577" s="27"/>
      <c r="G2577" s="27"/>
      <c r="H2577" s="25"/>
      <c r="I2577" s="25"/>
      <c r="N2577" t="str">
        <f xml:space="preserve">  N2576 &amp; " degrees this time"</f>
        <v>28 degrees this time</v>
      </c>
    </row>
    <row r="2578" spans="1:16" ht="15.75" customHeight="1" x14ac:dyDescent="0.35">
      <c r="B2578" s="20" t="s">
        <v>252</v>
      </c>
      <c r="C2578" s="27">
        <v>0.9</v>
      </c>
      <c r="D2578" s="27">
        <v>0.9</v>
      </c>
      <c r="E2578" s="27">
        <v>0.8</v>
      </c>
      <c r="F2578" s="27">
        <v>0.5</v>
      </c>
      <c r="G2578" s="27"/>
      <c r="H2578" s="27"/>
      <c r="I2578" s="27" t="s">
        <v>275</v>
      </c>
    </row>
    <row r="2579" spans="1:16" ht="15.75" customHeight="1" x14ac:dyDescent="0.35">
      <c r="B2579" s="20"/>
      <c r="C2579" s="30"/>
      <c r="D2579" s="11"/>
      <c r="E2579" s="1"/>
      <c r="F2579" s="11"/>
      <c r="G2579" s="11"/>
      <c r="H2579" s="11"/>
      <c r="J2579" s="37"/>
      <c r="K2579" s="32"/>
      <c r="L2579" s="9"/>
      <c r="M2579" s="9"/>
    </row>
    <row r="2580" spans="1:16" ht="15.75" customHeight="1" x14ac:dyDescent="0.35">
      <c r="B2580" s="38"/>
      <c r="D2580" s="11"/>
      <c r="E2580" s="11"/>
      <c r="F2580" s="11"/>
      <c r="G2580" s="1" t="s">
        <v>404</v>
      </c>
      <c r="K2580" s="32"/>
      <c r="L2580" s="9"/>
      <c r="M2580" s="9"/>
    </row>
    <row r="2581" spans="1:16" ht="15.75" customHeight="1" x14ac:dyDescent="0.35">
      <c r="B2581" s="20"/>
      <c r="G2581" s="1"/>
      <c r="H2581" s="1"/>
      <c r="K2581" s="32"/>
      <c r="L2581" s="9"/>
      <c r="M2581" s="9"/>
    </row>
    <row r="2582" spans="1:16" ht="15.75" customHeight="1" x14ac:dyDescent="0.35">
      <c r="B2582" s="20"/>
      <c r="G2582" s="1"/>
      <c r="H2582" s="1"/>
      <c r="K2582" s="9" t="s">
        <v>254</v>
      </c>
      <c r="L2582" s="9"/>
      <c r="M2582" s="9"/>
    </row>
    <row r="2583" spans="1:16" ht="15.75" customHeight="1" x14ac:dyDescent="0.35">
      <c r="B2583" s="9"/>
      <c r="C2583" s="9"/>
      <c r="D2583" s="9"/>
      <c r="E2583" s="9"/>
      <c r="F2583" s="12"/>
      <c r="G2583" s="12"/>
      <c r="H2583" s="12"/>
      <c r="I2583" s="12"/>
      <c r="J2583" s="12"/>
      <c r="K2583" s="12"/>
      <c r="L2583" s="1"/>
    </row>
    <row r="2584" spans="1:16" ht="15.75" customHeight="1" x14ac:dyDescent="0.35">
      <c r="B2584" s="13"/>
      <c r="C2584" s="13"/>
      <c r="D2584" s="15"/>
      <c r="H2584" s="14" t="s">
        <v>255</v>
      </c>
    </row>
    <row r="2585" spans="1:16" x14ac:dyDescent="0.35">
      <c r="B2585" s="13" t="s">
        <v>5</v>
      </c>
      <c r="C2585" s="13" t="s">
        <v>1</v>
      </c>
      <c r="D2585" s="15" t="str">
        <f>VLOOKUP(A2586,Inventory!$A$4:$K$1139,7)</f>
        <v xml:space="preserve">Sweet Marias                       </v>
      </c>
      <c r="F2585" s="13" t="s">
        <v>235</v>
      </c>
      <c r="G2585" s="16"/>
      <c r="L2585" s="17"/>
      <c r="M2585" s="17"/>
    </row>
    <row r="2586" spans="1:16" x14ac:dyDescent="0.35">
      <c r="A2586">
        <v>158</v>
      </c>
      <c r="B2586" s="5">
        <v>44345</v>
      </c>
      <c r="C2586" s="15" t="str">
        <f>VLOOKUP(A2586,Inventory!$A$4:$K$1139,2)</f>
        <v>Ethiopia Organic Sidama Keramo 2020</v>
      </c>
      <c r="E2586" s="11"/>
      <c r="F2586" s="31" t="s">
        <v>291</v>
      </c>
      <c r="G2586" s="2" t="s">
        <v>286</v>
      </c>
      <c r="L2586" s="17"/>
      <c r="M2586" s="17"/>
      <c r="P2586" s="8"/>
    </row>
    <row r="2587" spans="1:16" x14ac:dyDescent="0.35">
      <c r="D2587" s="11"/>
      <c r="E2587" s="11"/>
      <c r="G2587" s="16"/>
      <c r="L2587" s="19"/>
      <c r="M2587" s="19"/>
    </row>
    <row r="2588" spans="1:16" x14ac:dyDescent="0.35">
      <c r="B2588" s="20"/>
      <c r="C2588" s="11" t="s">
        <v>240</v>
      </c>
      <c r="D2588" s="11" t="s">
        <v>272</v>
      </c>
      <c r="E2588" s="11" t="s">
        <v>450</v>
      </c>
      <c r="F2588" s="11">
        <v>382</v>
      </c>
      <c r="G2588" s="11">
        <v>388</v>
      </c>
      <c r="H2588" s="11">
        <v>397</v>
      </c>
      <c r="I2588" s="11"/>
      <c r="J2588" s="11"/>
      <c r="K2588" s="11"/>
      <c r="L2588" s="11"/>
    </row>
    <row r="2589" spans="1:16" ht="15.75" customHeight="1" x14ac:dyDescent="0.35">
      <c r="B2589" s="20" t="s">
        <v>242</v>
      </c>
      <c r="C2589" s="30"/>
      <c r="D2589" s="30"/>
      <c r="E2589" s="23" t="s">
        <v>244</v>
      </c>
      <c r="F2589" s="23" t="s">
        <v>245</v>
      </c>
      <c r="G2589" s="23" t="s">
        <v>246</v>
      </c>
      <c r="H2589" s="23" t="s">
        <v>247</v>
      </c>
      <c r="O2589" s="4"/>
    </row>
    <row r="2590" spans="1:16" ht="1" customHeight="1" x14ac:dyDescent="0.35">
      <c r="B2590" s="24" t="s">
        <v>249</v>
      </c>
      <c r="C2590" s="25"/>
      <c r="D2590" s="25"/>
      <c r="E2590" s="25"/>
      <c r="F2590" s="25"/>
      <c r="G2590" s="25"/>
      <c r="H2590" s="25"/>
      <c r="O2590" t="e">
        <f>(O2588-3*O2587)/O2589</f>
        <v>#DIV/0!</v>
      </c>
    </row>
    <row r="2591" spans="1:16" ht="15.75" customHeight="1" x14ac:dyDescent="0.35">
      <c r="B2591" s="20" t="s">
        <v>250</v>
      </c>
      <c r="C2591" s="26">
        <v>0.16319444444444445</v>
      </c>
      <c r="D2591" s="26">
        <v>0.23958333333333334</v>
      </c>
      <c r="E2591" s="26">
        <v>0.3263888888888889</v>
      </c>
      <c r="F2591" s="26">
        <f>E2591+'Lookup Tables'!$N$1</f>
        <v>0.34722222222222221</v>
      </c>
      <c r="G2591" s="26">
        <f>F2591+'Lookup Tables'!$N$1</f>
        <v>0.36805555555555552</v>
      </c>
      <c r="H2591" s="26">
        <f>G2591+'Lookup Tables'!$N$1</f>
        <v>0.38888888888888884</v>
      </c>
      <c r="N2591">
        <f>MAX(F2588:M2588)-O2591</f>
        <v>22</v>
      </c>
      <c r="O2591" t="str">
        <f>RIGHT(E2588,3)</f>
        <v>375</v>
      </c>
    </row>
    <row r="2592" spans="1:16" ht="15.75" customHeight="1" x14ac:dyDescent="0.35">
      <c r="B2592" s="20" t="s">
        <v>251</v>
      </c>
      <c r="C2592" s="27">
        <v>0.2</v>
      </c>
      <c r="D2592" s="27">
        <v>0.5</v>
      </c>
      <c r="E2592" s="27"/>
      <c r="F2592" s="27"/>
      <c r="G2592" s="27"/>
      <c r="H2592" s="27"/>
      <c r="N2592" t="str">
        <f xml:space="preserve">  N2591 &amp; " degrees this time"</f>
        <v>22 degrees this time</v>
      </c>
    </row>
    <row r="2593" spans="1:16" ht="15.75" customHeight="1" x14ac:dyDescent="0.35">
      <c r="B2593" s="20" t="s">
        <v>252</v>
      </c>
      <c r="C2593" s="27">
        <v>0.9</v>
      </c>
      <c r="D2593" s="27">
        <v>0.8</v>
      </c>
      <c r="E2593" s="27"/>
      <c r="F2593" s="27">
        <v>0.5</v>
      </c>
      <c r="G2593" s="27" t="s">
        <v>274</v>
      </c>
      <c r="H2593" s="27" t="s">
        <v>275</v>
      </c>
    </row>
    <row r="2594" spans="1:16" ht="15.75" customHeight="1" x14ac:dyDescent="0.35">
      <c r="B2594" s="20"/>
      <c r="F2594" s="1"/>
    </row>
    <row r="2595" spans="1:16" ht="15.75" customHeight="1" x14ac:dyDescent="0.35">
      <c r="B2595" s="20"/>
      <c r="G2595" s="1" t="s">
        <v>351</v>
      </c>
      <c r="K2595" s="32" t="s">
        <v>369</v>
      </c>
      <c r="L2595" s="9"/>
      <c r="M2595" s="9"/>
    </row>
    <row r="2596" spans="1:16" ht="15.75" customHeight="1" x14ac:dyDescent="0.35">
      <c r="B2596" s="20"/>
      <c r="G2596" s="1"/>
      <c r="H2596" s="1"/>
      <c r="K2596" s="32"/>
      <c r="L2596" s="9"/>
      <c r="M2596" s="9"/>
    </row>
    <row r="2597" spans="1:16" ht="15.75" customHeight="1" x14ac:dyDescent="0.35">
      <c r="B2597" s="20"/>
      <c r="G2597" s="1"/>
      <c r="H2597" s="1"/>
      <c r="K2597" s="9" t="s">
        <v>300</v>
      </c>
      <c r="L2597" s="9"/>
      <c r="M2597" s="9"/>
    </row>
    <row r="2598" spans="1:16" ht="15.75" customHeight="1" x14ac:dyDescent="0.35">
      <c r="B2598" s="9"/>
      <c r="C2598" s="9"/>
      <c r="D2598" s="9"/>
      <c r="E2598" s="9"/>
      <c r="F2598" s="12"/>
      <c r="G2598" s="12"/>
      <c r="H2598" s="12"/>
      <c r="I2598" s="12"/>
      <c r="J2598" s="12"/>
      <c r="K2598" s="12"/>
      <c r="L2598" s="1"/>
    </row>
    <row r="2599" spans="1:16" ht="15.75" customHeight="1" x14ac:dyDescent="0.35">
      <c r="B2599" s="13"/>
      <c r="C2599" s="13"/>
      <c r="D2599" s="15"/>
    </row>
    <row r="2600" spans="1:16" x14ac:dyDescent="0.35">
      <c r="B2600" s="13" t="s">
        <v>5</v>
      </c>
      <c r="C2600" s="13" t="s">
        <v>1</v>
      </c>
      <c r="D2600" s="15" t="str">
        <f>VLOOKUP(A2601,Inventory!$A$4:$K$1139,7)</f>
        <v xml:space="preserve">Roastmasters                       </v>
      </c>
      <c r="F2600" s="13" t="s">
        <v>235</v>
      </c>
      <c r="G2600" s="16"/>
      <c r="L2600" s="17"/>
      <c r="M2600" s="17"/>
    </row>
    <row r="2601" spans="1:16" x14ac:dyDescent="0.35">
      <c r="A2601">
        <v>150</v>
      </c>
      <c r="B2601" s="5">
        <v>44345</v>
      </c>
      <c r="C2601" s="15" t="str">
        <f>VLOOKUP(A2601,Inventory!$A$4:$K$1139,2)</f>
        <v>Ethiopia Yirgacheffe Reko 2018</v>
      </c>
      <c r="F2601" s="34" t="s">
        <v>279</v>
      </c>
      <c r="G2601" s="2" t="s">
        <v>286</v>
      </c>
      <c r="L2601" s="17"/>
      <c r="M2601" s="17"/>
      <c r="P2601" s="8"/>
    </row>
    <row r="2602" spans="1:16" x14ac:dyDescent="0.35">
      <c r="G2602" s="16"/>
      <c r="L2602" s="19"/>
      <c r="M2602" s="19"/>
    </row>
    <row r="2603" spans="1:16" x14ac:dyDescent="0.35">
      <c r="B2603" s="20"/>
      <c r="C2603" s="11" t="s">
        <v>240</v>
      </c>
      <c r="D2603" s="11" t="s">
        <v>241</v>
      </c>
      <c r="E2603" s="11" t="s">
        <v>451</v>
      </c>
      <c r="F2603" s="11">
        <v>372</v>
      </c>
      <c r="G2603" s="11">
        <v>377</v>
      </c>
      <c r="H2603" s="11">
        <v>385</v>
      </c>
      <c r="I2603" s="11">
        <v>392</v>
      </c>
      <c r="J2603" s="11">
        <v>393</v>
      </c>
      <c r="K2603" s="11" t="s">
        <v>373</v>
      </c>
      <c r="L2603" s="11"/>
    </row>
    <row r="2604" spans="1:16" ht="15.75" customHeight="1" x14ac:dyDescent="0.35">
      <c r="B2604" s="20" t="s">
        <v>242</v>
      </c>
      <c r="C2604" s="30"/>
      <c r="D2604" s="30"/>
      <c r="E2604" s="23" t="s">
        <v>244</v>
      </c>
      <c r="F2604" s="23" t="s">
        <v>245</v>
      </c>
      <c r="G2604" s="23" t="s">
        <v>246</v>
      </c>
      <c r="H2604" s="23" t="s">
        <v>247</v>
      </c>
      <c r="I2604" s="23" t="s">
        <v>248</v>
      </c>
      <c r="J2604" s="23" t="s">
        <v>259</v>
      </c>
      <c r="O2604" s="4"/>
    </row>
    <row r="2605" spans="1:16" ht="1" customHeight="1" x14ac:dyDescent="0.35">
      <c r="B2605" s="24" t="s">
        <v>249</v>
      </c>
      <c r="C2605" s="25"/>
      <c r="D2605" s="25"/>
      <c r="E2605" s="25"/>
      <c r="F2605" s="25"/>
      <c r="G2605" s="25"/>
      <c r="H2605" s="25"/>
      <c r="I2605" s="25"/>
      <c r="J2605" s="25"/>
      <c r="O2605" t="e">
        <f>(O2603-3*O2602)/O2604</f>
        <v>#DIV/0!</v>
      </c>
    </row>
    <row r="2606" spans="1:16" ht="15.75" customHeight="1" x14ac:dyDescent="0.35">
      <c r="B2606" s="20" t="s">
        <v>250</v>
      </c>
      <c r="C2606" s="26">
        <v>0.19097222222222221</v>
      </c>
      <c r="D2606" s="26">
        <v>0.2638888888888889</v>
      </c>
      <c r="E2606" s="26">
        <v>0.33680555555555558</v>
      </c>
      <c r="F2606" s="26">
        <f>E2606+'Lookup Tables'!$N$1</f>
        <v>0.3576388888888889</v>
      </c>
      <c r="G2606" s="26">
        <f>F2606+'Lookup Tables'!$N$1</f>
        <v>0.37847222222222221</v>
      </c>
      <c r="H2606" s="26">
        <f>G2606+'Lookup Tables'!$N$1</f>
        <v>0.39930555555555552</v>
      </c>
      <c r="I2606" s="26">
        <f>H2606+'Lookup Tables'!$S$1</f>
        <v>0.40972222222222221</v>
      </c>
      <c r="J2606" s="26">
        <f>I2606+'Lookup Tables'!$S$1</f>
        <v>0.4201388888888889</v>
      </c>
      <c r="N2606">
        <f>MAX(F2603:M2603)-O2606</f>
        <v>28</v>
      </c>
      <c r="O2606" t="str">
        <f>RIGHT(E2603,3)</f>
        <v>365</v>
      </c>
    </row>
    <row r="2607" spans="1:16" ht="15.75" customHeight="1" x14ac:dyDescent="0.35">
      <c r="B2607" s="20" t="s">
        <v>251</v>
      </c>
      <c r="C2607" s="27">
        <v>0.2</v>
      </c>
      <c r="D2607" s="27">
        <v>0.5</v>
      </c>
      <c r="E2607" s="27"/>
      <c r="F2607" s="27"/>
      <c r="G2607" s="27"/>
      <c r="H2607" s="25"/>
      <c r="I2607" s="27"/>
      <c r="J2607" s="27"/>
      <c r="N2607" t="str">
        <f xml:space="preserve">  N2606 &amp; " degrees this time"</f>
        <v>28 degrees this time</v>
      </c>
    </row>
    <row r="2608" spans="1:16" ht="15.75" customHeight="1" x14ac:dyDescent="0.35">
      <c r="B2608" s="20" t="s">
        <v>252</v>
      </c>
      <c r="C2608" s="27">
        <v>0.9</v>
      </c>
      <c r="D2608" s="27">
        <v>0.8</v>
      </c>
      <c r="E2608" s="27"/>
      <c r="F2608" s="27"/>
      <c r="G2608" s="27">
        <v>0.3</v>
      </c>
      <c r="H2608" s="27"/>
      <c r="I2608" s="27" t="s">
        <v>275</v>
      </c>
      <c r="J2608" s="27" t="s">
        <v>275</v>
      </c>
    </row>
    <row r="2609" spans="1:16" ht="15.75" customHeight="1" x14ac:dyDescent="0.35">
      <c r="B2609" s="20"/>
      <c r="C2609" s="30"/>
      <c r="D2609" s="11"/>
      <c r="E2609" s="1"/>
      <c r="F2609" s="11"/>
      <c r="G2609" s="11"/>
      <c r="H2609" s="11"/>
    </row>
    <row r="2610" spans="1:16" ht="15.75" customHeight="1" x14ac:dyDescent="0.35">
      <c r="B2610" s="38"/>
      <c r="D2610" s="11"/>
      <c r="E2610" s="11"/>
      <c r="F2610" s="11"/>
      <c r="G2610" s="1" t="s">
        <v>292</v>
      </c>
      <c r="K2610" s="9" t="s">
        <v>431</v>
      </c>
      <c r="L2610" s="9"/>
      <c r="M2610" s="9"/>
    </row>
    <row r="2611" spans="1:16" ht="15.75" customHeight="1" x14ac:dyDescent="0.35">
      <c r="B2611" s="20"/>
      <c r="G2611" s="1"/>
      <c r="H2611" s="1"/>
      <c r="K2611" s="9"/>
      <c r="L2611" s="9"/>
      <c r="M2611" s="9"/>
    </row>
    <row r="2612" spans="1:16" ht="15.75" customHeight="1" x14ac:dyDescent="0.35">
      <c r="B2612" s="20"/>
      <c r="G2612" s="1"/>
      <c r="H2612" s="1"/>
      <c r="K2612" s="9" t="s">
        <v>254</v>
      </c>
      <c r="L2612" s="9"/>
      <c r="M2612" s="9"/>
    </row>
    <row r="2613" spans="1:16" ht="15.75" customHeight="1" x14ac:dyDescent="0.35">
      <c r="B2613" s="9"/>
      <c r="C2613" s="9"/>
      <c r="D2613" s="9"/>
      <c r="E2613" s="9"/>
      <c r="F2613" s="12"/>
      <c r="G2613" s="12"/>
      <c r="H2613" s="12"/>
      <c r="I2613" s="12"/>
      <c r="J2613" s="12"/>
      <c r="K2613" s="12"/>
      <c r="L2613" s="1"/>
    </row>
    <row r="2614" spans="1:16" ht="15.75" customHeight="1" x14ac:dyDescent="0.35">
      <c r="B2614" s="13"/>
      <c r="C2614" s="13"/>
      <c r="D2614" s="15"/>
      <c r="G2614" s="16"/>
      <c r="H2614" s="14" t="s">
        <v>255</v>
      </c>
      <c r="I2614" s="14"/>
      <c r="L2614" s="2"/>
    </row>
    <row r="2615" spans="1:16" x14ac:dyDescent="0.35">
      <c r="B2615" s="13" t="s">
        <v>5</v>
      </c>
      <c r="C2615" s="13" t="s">
        <v>1</v>
      </c>
      <c r="D2615" s="15" t="str">
        <f>VLOOKUP(A2616,Inventory!$A$4:$K$1139,7)</f>
        <v>Royal coffee</v>
      </c>
      <c r="F2615" s="13" t="s">
        <v>235</v>
      </c>
      <c r="G2615" s="16"/>
      <c r="L2615" s="17"/>
      <c r="M2615" s="17"/>
    </row>
    <row r="2616" spans="1:16" x14ac:dyDescent="0.35">
      <c r="A2616">
        <v>141</v>
      </c>
      <c r="B2616" s="5">
        <v>44345</v>
      </c>
      <c r="C2616" s="15" t="str">
        <f>VLOOKUP(A2616,Inventory!$A$4:$K$1139,2)</f>
        <v>Yemen Al-Haymah Rooftop Raised Bed Natural 2017</v>
      </c>
      <c r="F2616" s="31" t="s">
        <v>291</v>
      </c>
      <c r="G2616" s="2" t="s">
        <v>286</v>
      </c>
      <c r="L2616" s="17"/>
      <c r="M2616" s="17"/>
      <c r="P2616" s="8"/>
    </row>
    <row r="2617" spans="1:16" x14ac:dyDescent="0.35">
      <c r="B2617" t="s">
        <v>16</v>
      </c>
      <c r="G2617" s="16"/>
      <c r="L2617" s="19"/>
      <c r="M2617" s="19"/>
    </row>
    <row r="2618" spans="1:16" x14ac:dyDescent="0.35">
      <c r="B2618" s="20"/>
      <c r="C2618" s="11" t="s">
        <v>240</v>
      </c>
      <c r="D2618" s="11" t="s">
        <v>272</v>
      </c>
      <c r="E2618" s="11" t="s">
        <v>452</v>
      </c>
      <c r="F2618" s="11">
        <v>389</v>
      </c>
      <c r="G2618" s="11">
        <v>395</v>
      </c>
      <c r="H2618" s="11">
        <v>400</v>
      </c>
      <c r="I2618" s="11">
        <v>403</v>
      </c>
      <c r="J2618" s="11"/>
      <c r="K2618" s="11"/>
      <c r="L2618" s="11"/>
    </row>
    <row r="2619" spans="1:16" ht="15.75" customHeight="1" x14ac:dyDescent="0.35">
      <c r="B2619" s="20" t="s">
        <v>242</v>
      </c>
      <c r="C2619" s="21"/>
      <c r="D2619" s="22" t="s">
        <v>294</v>
      </c>
      <c r="E2619" s="23" t="s">
        <v>244</v>
      </c>
      <c r="F2619" s="23" t="s">
        <v>245</v>
      </c>
      <c r="G2619" s="23" t="s">
        <v>246</v>
      </c>
      <c r="H2619" s="23" t="s">
        <v>273</v>
      </c>
      <c r="I2619" s="23" t="s">
        <v>247</v>
      </c>
      <c r="O2619" s="4"/>
    </row>
    <row r="2620" spans="1:16" ht="1" customHeight="1" x14ac:dyDescent="0.35">
      <c r="B2620" s="24" t="s">
        <v>249</v>
      </c>
      <c r="C2620" s="25">
        <v>320</v>
      </c>
      <c r="D2620" s="25">
        <v>350</v>
      </c>
      <c r="E2620" s="25"/>
      <c r="F2620" s="25"/>
      <c r="G2620" s="25"/>
      <c r="H2620" s="23" t="s">
        <v>247</v>
      </c>
      <c r="I2620" s="25"/>
      <c r="O2620" t="e">
        <f>(O2618-3*O2617)/O2619</f>
        <v>#DIV/0!</v>
      </c>
    </row>
    <row r="2621" spans="1:16" ht="15.75" customHeight="1" x14ac:dyDescent="0.35">
      <c r="B2621" s="20" t="s">
        <v>250</v>
      </c>
      <c r="C2621" s="26">
        <v>0.1875</v>
      </c>
      <c r="D2621" s="26">
        <v>0.27777777777777779</v>
      </c>
      <c r="E2621" s="26">
        <v>0.3888888888888889</v>
      </c>
      <c r="F2621" s="26">
        <f>E2621+'Lookup Tables'!$N$1</f>
        <v>0.40972222222222221</v>
      </c>
      <c r="G2621" s="26">
        <f>F2621+'Lookup Tables'!$N$1</f>
        <v>0.43055555555555552</v>
      </c>
      <c r="H2621" s="26">
        <f>G2621+'Lookup Tables'!$S$1</f>
        <v>0.44097222222222221</v>
      </c>
      <c r="I2621" s="26">
        <f>H2621+'Lookup Tables'!$S$1</f>
        <v>0.4513888888888889</v>
      </c>
      <c r="N2621">
        <f>MAX(F2618:M2618)-O2621</f>
        <v>22</v>
      </c>
      <c r="O2621" t="str">
        <f>RIGHT(E2618,3)</f>
        <v>381</v>
      </c>
    </row>
    <row r="2622" spans="1:16" ht="15.75" customHeight="1" x14ac:dyDescent="0.35">
      <c r="B2622" s="20" t="s">
        <v>251</v>
      </c>
      <c r="C2622" s="27">
        <v>0.2</v>
      </c>
      <c r="D2622" s="27">
        <v>0.5</v>
      </c>
      <c r="E2622" s="27"/>
      <c r="F2622" s="27"/>
      <c r="G2622" s="27">
        <v>0.25</v>
      </c>
      <c r="H2622" s="27"/>
      <c r="I2622" s="27"/>
      <c r="N2622" t="str">
        <f xml:space="preserve">  N2621 &amp; " degrees this time"</f>
        <v>22 degrees this time</v>
      </c>
    </row>
    <row r="2623" spans="1:16" ht="15.75" customHeight="1" x14ac:dyDescent="0.35">
      <c r="B2623" s="20" t="s">
        <v>252</v>
      </c>
      <c r="C2623" s="27">
        <v>0.9</v>
      </c>
      <c r="D2623" s="27">
        <v>0.7</v>
      </c>
      <c r="E2623" s="27">
        <v>0.6</v>
      </c>
      <c r="F2623" s="27"/>
      <c r="G2623" s="27"/>
      <c r="H2623" s="27"/>
      <c r="I2623" s="27" t="s">
        <v>275</v>
      </c>
    </row>
    <row r="2624" spans="1:16" ht="15.75" customHeight="1" x14ac:dyDescent="0.35">
      <c r="B2624" s="20"/>
      <c r="D2624" s="11"/>
      <c r="E2624" s="40"/>
      <c r="F2624" s="11"/>
      <c r="G2624" s="11"/>
    </row>
    <row r="2625" spans="1:16" ht="15.75" customHeight="1" x14ac:dyDescent="0.35">
      <c r="B2625" s="38"/>
      <c r="D2625" s="15"/>
      <c r="F2625" s="13"/>
      <c r="G2625" s="1" t="s">
        <v>296</v>
      </c>
      <c r="K2625" s="32" t="s">
        <v>377</v>
      </c>
      <c r="L2625" s="9"/>
      <c r="M2625" s="9"/>
    </row>
    <row r="2626" spans="1:16" ht="15.75" customHeight="1" x14ac:dyDescent="0.35">
      <c r="B2626" s="20"/>
      <c r="G2626" s="1"/>
      <c r="H2626" s="1"/>
      <c r="K2626" s="9"/>
      <c r="L2626" s="9"/>
      <c r="M2626" s="9"/>
    </row>
    <row r="2627" spans="1:16" ht="15.75" customHeight="1" x14ac:dyDescent="0.35">
      <c r="B2627" s="20"/>
      <c r="G2627" s="1"/>
      <c r="H2627" s="1"/>
      <c r="K2627" s="9" t="s">
        <v>297</v>
      </c>
      <c r="L2627" s="9"/>
      <c r="M2627" s="9"/>
    </row>
    <row r="2628" spans="1:16" ht="15.75" customHeight="1" x14ac:dyDescent="0.35">
      <c r="B2628" s="9"/>
      <c r="C2628" s="9"/>
      <c r="D2628" s="9"/>
      <c r="E2628" s="9"/>
      <c r="F2628" s="12"/>
      <c r="G2628" s="12"/>
      <c r="H2628" s="12"/>
      <c r="I2628" s="12"/>
      <c r="J2628" s="12"/>
      <c r="K2628" s="12"/>
      <c r="L2628" s="1"/>
    </row>
    <row r="2629" spans="1:16" ht="15.75" customHeight="1" x14ac:dyDescent="0.35">
      <c r="B2629" s="13"/>
      <c r="C2629" s="13"/>
      <c r="D2629" s="13"/>
      <c r="E2629" s="13"/>
      <c r="F2629" s="33" t="s">
        <v>298</v>
      </c>
      <c r="G2629" s="13"/>
      <c r="I2629" s="13"/>
    </row>
    <row r="2630" spans="1:16" x14ac:dyDescent="0.35">
      <c r="B2630" s="13" t="s">
        <v>5</v>
      </c>
      <c r="C2630" s="13" t="s">
        <v>1</v>
      </c>
      <c r="D2630" s="15" t="str">
        <f>VLOOKUP(A2631,Inventory!$A$4:$K$1139,7)</f>
        <v xml:space="preserve">Klatch                             </v>
      </c>
      <c r="F2630" s="13" t="s">
        <v>235</v>
      </c>
      <c r="G2630" s="16"/>
      <c r="L2630" s="17"/>
      <c r="M2630" s="17"/>
    </row>
    <row r="2631" spans="1:16" x14ac:dyDescent="0.35">
      <c r="A2631">
        <v>161</v>
      </c>
      <c r="B2631" s="5">
        <v>44324</v>
      </c>
      <c r="C2631" s="15" t="str">
        <f>VLOOKUP(A2631,Inventory!$A$4:$K$1139,2)</f>
        <v>Colombia Nariño Organic 2020</v>
      </c>
      <c r="E2631" s="11"/>
      <c r="F2631" s="34" t="s">
        <v>279</v>
      </c>
      <c r="G2631" s="2" t="s">
        <v>286</v>
      </c>
      <c r="L2631" s="17"/>
      <c r="M2631" s="17"/>
      <c r="P2631" s="8"/>
    </row>
    <row r="2632" spans="1:16" x14ac:dyDescent="0.35">
      <c r="D2632" s="11"/>
      <c r="E2632" s="11"/>
      <c r="G2632" s="16"/>
      <c r="L2632" s="19"/>
      <c r="M2632" s="19"/>
    </row>
    <row r="2633" spans="1:16" x14ac:dyDescent="0.35">
      <c r="B2633" s="20"/>
      <c r="C2633" s="11" t="s">
        <v>240</v>
      </c>
      <c r="D2633" s="11" t="s">
        <v>272</v>
      </c>
      <c r="E2633" s="11" t="s">
        <v>427</v>
      </c>
      <c r="F2633" s="11">
        <v>373</v>
      </c>
      <c r="G2633" s="11">
        <v>380</v>
      </c>
      <c r="H2633" s="11">
        <v>389</v>
      </c>
      <c r="I2633" s="11">
        <v>392</v>
      </c>
      <c r="J2633" s="11"/>
      <c r="K2633" s="11"/>
      <c r="L2633" s="11"/>
    </row>
    <row r="2634" spans="1:16" ht="15.75" customHeight="1" x14ac:dyDescent="0.35">
      <c r="B2634" s="20" t="s">
        <v>242</v>
      </c>
      <c r="C2634" s="21"/>
      <c r="D2634" s="22" t="s">
        <v>294</v>
      </c>
      <c r="E2634" s="23" t="s">
        <v>244</v>
      </c>
      <c r="F2634" s="23" t="s">
        <v>245</v>
      </c>
      <c r="G2634" s="23" t="s">
        <v>246</v>
      </c>
      <c r="H2634" s="23" t="s">
        <v>247</v>
      </c>
      <c r="I2634" s="23" t="s">
        <v>248</v>
      </c>
      <c r="O2634" s="4"/>
    </row>
    <row r="2635" spans="1:16" ht="1" customHeight="1" x14ac:dyDescent="0.35">
      <c r="B2635" s="24" t="s">
        <v>249</v>
      </c>
      <c r="C2635" s="25"/>
      <c r="D2635" s="25"/>
      <c r="E2635" s="25"/>
      <c r="F2635" s="25"/>
      <c r="G2635" s="25"/>
      <c r="H2635" s="25"/>
      <c r="I2635" s="25"/>
      <c r="O2635" t="e">
        <f>(O2633-3*O2632)/O2634</f>
        <v>#DIV/0!</v>
      </c>
    </row>
    <row r="2636" spans="1:16" ht="15.75" customHeight="1" x14ac:dyDescent="0.35">
      <c r="B2636" s="20" t="s">
        <v>250</v>
      </c>
      <c r="C2636" s="26">
        <v>0.21527777777777779</v>
      </c>
      <c r="D2636" s="26">
        <v>0.2986111111111111</v>
      </c>
      <c r="E2636" s="26">
        <v>0.36805555555555558</v>
      </c>
      <c r="F2636" s="26">
        <f>E2636+'Lookup Tables'!$N$1</f>
        <v>0.3888888888888889</v>
      </c>
      <c r="G2636" s="26">
        <f>F2636+'Lookup Tables'!$N$1</f>
        <v>0.40972222222222221</v>
      </c>
      <c r="H2636" s="26">
        <f>G2636+'Lookup Tables'!$N$1</f>
        <v>0.43055555555555552</v>
      </c>
      <c r="I2636" s="26">
        <f>H2636+'Lookup Tables'!$S$1</f>
        <v>0.44097222222222221</v>
      </c>
      <c r="N2636">
        <f>MAX(F2633:M2633)-O2636</f>
        <v>26</v>
      </c>
      <c r="O2636" t="str">
        <f>RIGHT(E2633,3)</f>
        <v>366</v>
      </c>
    </row>
    <row r="2637" spans="1:16" ht="15.75" customHeight="1" x14ac:dyDescent="0.35">
      <c r="B2637" s="20" t="s">
        <v>251</v>
      </c>
      <c r="C2637" s="27">
        <v>0.2</v>
      </c>
      <c r="D2637" s="27">
        <v>0.5</v>
      </c>
      <c r="E2637" s="27"/>
      <c r="F2637" s="27"/>
      <c r="G2637" s="27"/>
      <c r="H2637" s="27"/>
      <c r="I2637" s="25"/>
      <c r="N2637" t="str">
        <f xml:space="preserve">  N2636 &amp; " degrees this time"</f>
        <v>26 degrees this time</v>
      </c>
    </row>
    <row r="2638" spans="1:16" ht="15.75" customHeight="1" x14ac:dyDescent="0.35">
      <c r="B2638" s="20" t="s">
        <v>252</v>
      </c>
      <c r="C2638" s="27">
        <v>0.9</v>
      </c>
      <c r="D2638" s="27">
        <v>0.8</v>
      </c>
      <c r="E2638" s="27">
        <v>0.7</v>
      </c>
      <c r="F2638" s="27"/>
      <c r="G2638" s="27"/>
      <c r="H2638" s="27"/>
      <c r="I2638" s="27" t="s">
        <v>275</v>
      </c>
    </row>
    <row r="2639" spans="1:16" ht="15.75" customHeight="1" x14ac:dyDescent="0.35">
      <c r="B2639" s="20"/>
      <c r="D2639" s="11"/>
      <c r="E2639" s="11"/>
      <c r="F2639" s="11"/>
      <c r="G2639" s="11"/>
      <c r="H2639" s="35"/>
    </row>
    <row r="2640" spans="1:16" ht="15.75" customHeight="1" x14ac:dyDescent="0.35">
      <c r="B2640" s="20"/>
      <c r="G2640" s="1" t="s">
        <v>331</v>
      </c>
      <c r="K2640" s="32" t="s">
        <v>332</v>
      </c>
      <c r="L2640" s="9"/>
      <c r="M2640" s="9"/>
    </row>
    <row r="2641" spans="1:16" ht="15.75" customHeight="1" x14ac:dyDescent="0.35">
      <c r="B2641" s="30"/>
      <c r="G2641" s="1"/>
      <c r="H2641" s="1"/>
      <c r="K2641" s="9"/>
      <c r="L2641" s="9"/>
      <c r="M2641" s="9"/>
    </row>
    <row r="2642" spans="1:16" ht="15.75" customHeight="1" x14ac:dyDescent="0.35">
      <c r="B2642" s="30"/>
      <c r="G2642" s="1"/>
      <c r="H2642" s="1"/>
      <c r="K2642" s="9" t="s">
        <v>300</v>
      </c>
      <c r="L2642" s="9"/>
      <c r="M2642" s="9"/>
    </row>
    <row r="2643" spans="1:16" ht="15.75" customHeight="1" x14ac:dyDescent="0.35">
      <c r="B2643" s="9"/>
      <c r="C2643" s="9"/>
      <c r="D2643" s="9"/>
      <c r="E2643" s="9"/>
      <c r="F2643" s="12"/>
      <c r="G2643" s="12"/>
      <c r="H2643" s="12"/>
      <c r="I2643" s="12"/>
      <c r="J2643" s="12"/>
      <c r="K2643" s="12"/>
      <c r="L2643" s="1"/>
    </row>
    <row r="2644" spans="1:16" ht="15.75" customHeight="1" x14ac:dyDescent="0.35">
      <c r="B2644" s="13"/>
      <c r="C2644" s="13"/>
      <c r="D2644" s="15"/>
      <c r="F2644" s="33" t="s">
        <v>298</v>
      </c>
      <c r="G2644" s="13"/>
      <c r="H2644" s="14" t="s">
        <v>255</v>
      </c>
      <c r="I2644" s="13"/>
      <c r="J2644" s="1"/>
    </row>
    <row r="2645" spans="1:16" x14ac:dyDescent="0.35">
      <c r="B2645" s="13" t="s">
        <v>5</v>
      </c>
      <c r="C2645" s="13" t="s">
        <v>1</v>
      </c>
      <c r="D2645" s="15" t="str">
        <f>VLOOKUP(A2646,Inventory!$A$4:$K$1139,7)</f>
        <v xml:space="preserve">Klatch                             </v>
      </c>
      <c r="F2645" s="13" t="s">
        <v>235</v>
      </c>
      <c r="G2645" s="16"/>
      <c r="L2645" s="17"/>
      <c r="M2645" s="17"/>
    </row>
    <row r="2646" spans="1:16" x14ac:dyDescent="0.35">
      <c r="A2646">
        <v>163</v>
      </c>
      <c r="B2646" s="5">
        <v>44324</v>
      </c>
      <c r="C2646" s="15" t="str">
        <f>VLOOKUP(A2646,Inventory!$A$4:$K$1139,2)</f>
        <v>Guatemala Antigua Hunapu Micro Lot 2020</v>
      </c>
      <c r="E2646" s="11"/>
      <c r="F2646" s="31" t="s">
        <v>291</v>
      </c>
      <c r="G2646" s="2" t="s">
        <v>286</v>
      </c>
      <c r="L2646" s="17"/>
      <c r="M2646" s="17"/>
      <c r="P2646" s="8"/>
    </row>
    <row r="2647" spans="1:16" x14ac:dyDescent="0.35">
      <c r="B2647" s="13"/>
      <c r="C2647" s="13"/>
      <c r="D2647" s="11"/>
      <c r="F2647" s="13"/>
      <c r="G2647" s="16"/>
      <c r="I2647" s="1"/>
      <c r="L2647" s="19"/>
      <c r="M2647" s="19"/>
    </row>
    <row r="2648" spans="1:16" x14ac:dyDescent="0.35">
      <c r="B2648" s="20"/>
      <c r="C2648" s="11" t="s">
        <v>240</v>
      </c>
      <c r="D2648" s="11" t="s">
        <v>241</v>
      </c>
      <c r="E2648" s="11" t="s">
        <v>440</v>
      </c>
      <c r="F2648" s="11">
        <v>379</v>
      </c>
      <c r="G2648" s="11">
        <v>384</v>
      </c>
      <c r="H2648" s="11">
        <v>391</v>
      </c>
      <c r="I2648" s="11">
        <v>395</v>
      </c>
      <c r="J2648" s="11"/>
      <c r="K2648" s="11"/>
      <c r="L2648" s="11"/>
    </row>
    <row r="2649" spans="1:16" ht="15.75" customHeight="1" x14ac:dyDescent="0.35">
      <c r="B2649" s="20" t="s">
        <v>242</v>
      </c>
      <c r="C2649" s="30"/>
      <c r="D2649" s="30"/>
      <c r="E2649" s="23" t="s">
        <v>244</v>
      </c>
      <c r="F2649" s="23" t="s">
        <v>245</v>
      </c>
      <c r="G2649" s="23" t="s">
        <v>246</v>
      </c>
      <c r="H2649" s="23" t="s">
        <v>247</v>
      </c>
      <c r="I2649" s="23" t="s">
        <v>248</v>
      </c>
      <c r="O2649" s="4"/>
    </row>
    <row r="2650" spans="1:16" ht="1" customHeight="1" x14ac:dyDescent="0.35">
      <c r="B2650" s="24" t="s">
        <v>249</v>
      </c>
      <c r="C2650" s="25"/>
      <c r="D2650" s="25"/>
      <c r="E2650" s="25"/>
      <c r="F2650" s="25"/>
      <c r="G2650" s="25"/>
      <c r="H2650" s="25"/>
      <c r="I2650" s="25"/>
      <c r="O2650" t="e">
        <f>(O2648-3*O2647)/O2649</f>
        <v>#DIV/0!</v>
      </c>
    </row>
    <row r="2651" spans="1:16" ht="15.75" customHeight="1" x14ac:dyDescent="0.35">
      <c r="B2651" s="20" t="s">
        <v>250</v>
      </c>
      <c r="C2651" s="26">
        <v>0.18055555555555555</v>
      </c>
      <c r="D2651" s="26">
        <v>0.25</v>
      </c>
      <c r="E2651" s="26">
        <v>0.34027777777777773</v>
      </c>
      <c r="F2651" s="26">
        <f>E2651+'Lookup Tables'!$N$1</f>
        <v>0.36111111111111105</v>
      </c>
      <c r="G2651" s="26">
        <f>F2651+'Lookup Tables'!$N$1</f>
        <v>0.38194444444444436</v>
      </c>
      <c r="H2651" s="26">
        <f>G2651+'Lookup Tables'!$N$1</f>
        <v>0.40277777777777768</v>
      </c>
      <c r="I2651" s="26">
        <f>H2651+'Lookup Tables'!$S$1</f>
        <v>0.41319444444444436</v>
      </c>
      <c r="N2651">
        <f>MAX(F2648:M2648)-O2651</f>
        <v>23</v>
      </c>
      <c r="O2651" t="str">
        <f>RIGHT(E2648,3)</f>
        <v>372</v>
      </c>
    </row>
    <row r="2652" spans="1:16" ht="15.75" customHeight="1" x14ac:dyDescent="0.35">
      <c r="B2652" s="20" t="s">
        <v>251</v>
      </c>
      <c r="C2652" s="27">
        <v>0.2</v>
      </c>
      <c r="D2652" s="27">
        <v>0.5</v>
      </c>
      <c r="E2652" s="27"/>
      <c r="F2652" s="27"/>
      <c r="G2652" s="27"/>
      <c r="H2652" s="27"/>
      <c r="I2652" s="25"/>
      <c r="N2652" t="str">
        <f xml:space="preserve">  N2651 &amp; " degrees this time"</f>
        <v>23 degrees this time</v>
      </c>
    </row>
    <row r="2653" spans="1:16" ht="15.75" customHeight="1" x14ac:dyDescent="0.35">
      <c r="B2653" s="20" t="s">
        <v>252</v>
      </c>
      <c r="C2653" s="27">
        <v>0.9</v>
      </c>
      <c r="D2653" s="27">
        <v>0.9</v>
      </c>
      <c r="E2653" s="27">
        <v>0.8</v>
      </c>
      <c r="F2653" s="27"/>
      <c r="G2653" s="27">
        <v>0.6</v>
      </c>
      <c r="H2653" s="27">
        <v>0.4</v>
      </c>
      <c r="I2653" s="27" t="s">
        <v>275</v>
      </c>
    </row>
    <row r="2654" spans="1:16" ht="15.75" customHeight="1" x14ac:dyDescent="0.35">
      <c r="B2654" s="20"/>
      <c r="D2654" s="11"/>
      <c r="E2654" s="11"/>
      <c r="F2654" s="11"/>
      <c r="G2654" s="40"/>
      <c r="H2654" s="11"/>
      <c r="I2654" s="11"/>
      <c r="J2654" s="37"/>
      <c r="K2654" s="32"/>
      <c r="L2654" s="9"/>
      <c r="M2654" s="9"/>
    </row>
    <row r="2655" spans="1:16" ht="15.75" customHeight="1" x14ac:dyDescent="0.35">
      <c r="B2655" s="38"/>
      <c r="G2655" s="1" t="s">
        <v>307</v>
      </c>
      <c r="H2655" s="1"/>
      <c r="K2655" s="32" t="s">
        <v>453</v>
      </c>
      <c r="L2655" s="9"/>
      <c r="M2655" s="9"/>
    </row>
    <row r="2656" spans="1:16" ht="15.75" customHeight="1" x14ac:dyDescent="0.35">
      <c r="B2656" s="20"/>
      <c r="G2656" s="1"/>
      <c r="H2656" s="1"/>
      <c r="K2656" s="32"/>
      <c r="L2656" s="9"/>
      <c r="M2656" s="9"/>
    </row>
    <row r="2657" spans="1:16" ht="15.75" customHeight="1" x14ac:dyDescent="0.35">
      <c r="B2657" s="20"/>
      <c r="G2657" s="1"/>
      <c r="H2657" s="1"/>
      <c r="K2657" s="9" t="s">
        <v>300</v>
      </c>
      <c r="L2657" s="9"/>
      <c r="M2657" s="9"/>
    </row>
    <row r="2658" spans="1:16" ht="15.75" customHeight="1" x14ac:dyDescent="0.35">
      <c r="B2658" s="9"/>
      <c r="C2658" s="9"/>
      <c r="D2658" s="9"/>
      <c r="E2658" s="9"/>
      <c r="F2658" s="12"/>
      <c r="G2658" s="12"/>
      <c r="H2658" s="12"/>
      <c r="I2658" s="12"/>
      <c r="J2658" s="12"/>
      <c r="K2658" s="12"/>
      <c r="L2658" s="1"/>
    </row>
    <row r="2659" spans="1:16" ht="15.75" customHeight="1" x14ac:dyDescent="0.35">
      <c r="B2659" s="13"/>
      <c r="C2659" s="13"/>
      <c r="D2659" s="15"/>
      <c r="F2659" s="33" t="s">
        <v>350</v>
      </c>
    </row>
    <row r="2660" spans="1:16" x14ac:dyDescent="0.35">
      <c r="B2660" s="13" t="s">
        <v>5</v>
      </c>
      <c r="C2660" s="13" t="s">
        <v>1</v>
      </c>
      <c r="D2660" s="15" t="str">
        <f>VLOOKUP(A2661,Inventory!$A$4:$K$1139,7)</f>
        <v xml:space="preserve">GCBC                               </v>
      </c>
      <c r="F2660" s="13" t="s">
        <v>235</v>
      </c>
      <c r="G2660" s="16"/>
      <c r="L2660" s="17"/>
      <c r="M2660" s="17"/>
    </row>
    <row r="2661" spans="1:16" x14ac:dyDescent="0.35">
      <c r="A2661">
        <v>160</v>
      </c>
      <c r="B2661" s="5">
        <v>44324</v>
      </c>
      <c r="C2661" s="15" t="str">
        <f>VLOOKUP(A2661,Inventory!$A$4:$K$1139,2)</f>
        <v>Sumatra Mandheling Takengon 2020</v>
      </c>
      <c r="E2661" s="11"/>
      <c r="F2661" s="34" t="s">
        <v>279</v>
      </c>
      <c r="G2661" s="2" t="s">
        <v>270</v>
      </c>
      <c r="J2661" s="8"/>
      <c r="L2661" s="17"/>
      <c r="M2661" s="17"/>
      <c r="P2661" s="8"/>
    </row>
    <row r="2662" spans="1:16" x14ac:dyDescent="0.35">
      <c r="B2662" s="13"/>
      <c r="C2662" s="13"/>
      <c r="D2662" s="11"/>
      <c r="F2662" s="13"/>
      <c r="G2662" s="16"/>
      <c r="K2662" s="1"/>
      <c r="L2662" s="19"/>
      <c r="M2662" s="19"/>
    </row>
    <row r="2663" spans="1:16" x14ac:dyDescent="0.35">
      <c r="B2663" s="20"/>
      <c r="C2663" s="11" t="s">
        <v>240</v>
      </c>
      <c r="D2663" s="11" t="s">
        <v>301</v>
      </c>
      <c r="E2663" s="11" t="s">
        <v>441</v>
      </c>
      <c r="F2663" s="11">
        <v>377</v>
      </c>
      <c r="G2663" s="11">
        <v>384</v>
      </c>
      <c r="H2663" s="11">
        <v>391</v>
      </c>
      <c r="I2663" s="11">
        <v>395</v>
      </c>
      <c r="J2663" s="11" t="s">
        <v>373</v>
      </c>
      <c r="K2663" s="11"/>
      <c r="L2663" s="11"/>
    </row>
    <row r="2664" spans="1:16" ht="15.75" customHeight="1" x14ac:dyDescent="0.35">
      <c r="B2664" s="20" t="s">
        <v>242</v>
      </c>
      <c r="C2664" s="21"/>
      <c r="D2664" s="22" t="s">
        <v>294</v>
      </c>
      <c r="E2664" s="23" t="s">
        <v>244</v>
      </c>
      <c r="F2664" s="23" t="s">
        <v>245</v>
      </c>
      <c r="G2664" s="23" t="s">
        <v>246</v>
      </c>
      <c r="H2664" s="23" t="s">
        <v>247</v>
      </c>
      <c r="I2664" s="23" t="s">
        <v>259</v>
      </c>
      <c r="J2664" s="23"/>
      <c r="O2664" s="4"/>
    </row>
    <row r="2665" spans="1:16" ht="1" customHeight="1" x14ac:dyDescent="0.35">
      <c r="B2665" s="24" t="s">
        <v>249</v>
      </c>
      <c r="C2665" s="25"/>
      <c r="D2665" s="25"/>
      <c r="E2665" s="25"/>
      <c r="F2665" s="25"/>
      <c r="G2665" s="25"/>
      <c r="H2665" s="25"/>
      <c r="I2665" s="25"/>
      <c r="J2665" s="25"/>
      <c r="O2665" t="e">
        <f>(O2663-3*O2662)/O2664</f>
        <v>#DIV/0!</v>
      </c>
    </row>
    <row r="2666" spans="1:16" ht="15.75" customHeight="1" x14ac:dyDescent="0.35">
      <c r="B2666" s="20" t="s">
        <v>250</v>
      </c>
      <c r="C2666" s="26">
        <v>0.23611111111111113</v>
      </c>
      <c r="D2666" s="26">
        <v>0.3298611111111111</v>
      </c>
      <c r="E2666" s="26">
        <v>0.40625</v>
      </c>
      <c r="F2666" s="26">
        <f>E2666+'Lookup Tables'!$N$1</f>
        <v>0.42708333333333331</v>
      </c>
      <c r="G2666" s="26">
        <f>F2666+'Lookup Tables'!$N$1</f>
        <v>0.44791666666666663</v>
      </c>
      <c r="H2666" s="26">
        <f>G2666+'Lookup Tables'!$N$1</f>
        <v>0.46874999999999994</v>
      </c>
      <c r="I2666" s="26">
        <f>H2666+'Lookup Tables'!$N$1</f>
        <v>0.48958333333333326</v>
      </c>
      <c r="J2666" s="26"/>
      <c r="N2666">
        <f>MAX(F2663:M2663)-O2666</f>
        <v>26</v>
      </c>
      <c r="O2666" t="str">
        <f>RIGHT(E2663,3)</f>
        <v>369</v>
      </c>
    </row>
    <row r="2667" spans="1:16" ht="15.75" customHeight="1" x14ac:dyDescent="0.35">
      <c r="B2667" s="20" t="s">
        <v>251</v>
      </c>
      <c r="C2667" s="27">
        <v>0.2</v>
      </c>
      <c r="D2667" s="27">
        <v>0.5</v>
      </c>
      <c r="E2667" s="27"/>
      <c r="F2667" s="27"/>
      <c r="G2667" s="27"/>
      <c r="H2667" s="27"/>
      <c r="I2667" s="27"/>
      <c r="J2667" s="27"/>
      <c r="N2667" t="str">
        <f xml:space="preserve">  N2666 &amp; " degrees this time"</f>
        <v>26 degrees this time</v>
      </c>
    </row>
    <row r="2668" spans="1:16" ht="15.75" customHeight="1" x14ac:dyDescent="0.35">
      <c r="B2668" s="20" t="s">
        <v>252</v>
      </c>
      <c r="C2668" s="27">
        <v>0.9</v>
      </c>
      <c r="D2668" s="27">
        <v>0.7</v>
      </c>
      <c r="E2668" s="27">
        <v>0.4</v>
      </c>
      <c r="F2668" s="27" t="s">
        <v>274</v>
      </c>
      <c r="G2668" s="27"/>
      <c r="H2668" s="27"/>
      <c r="I2668" s="27"/>
      <c r="J2668" s="27"/>
    </row>
    <row r="2669" spans="1:16" ht="15.75" customHeight="1" x14ac:dyDescent="0.35">
      <c r="B2669" s="20"/>
      <c r="D2669" s="11"/>
      <c r="E2669" s="11"/>
      <c r="F2669" s="11"/>
      <c r="G2669" s="11"/>
      <c r="H2669" s="11"/>
      <c r="I2669" s="11"/>
      <c r="J2669" s="37"/>
      <c r="K2669" s="37"/>
      <c r="L2669" s="35"/>
    </row>
    <row r="2670" spans="1:16" ht="15.75" customHeight="1" x14ac:dyDescent="0.35">
      <c r="B2670" s="38"/>
      <c r="E2670" s="11"/>
      <c r="G2670" s="1" t="s">
        <v>317</v>
      </c>
      <c r="H2670" s="1"/>
      <c r="K2670" s="32"/>
      <c r="L2670" s="9"/>
      <c r="M2670" s="9"/>
    </row>
    <row r="2671" spans="1:16" ht="15.75" customHeight="1" x14ac:dyDescent="0.35">
      <c r="B2671" s="20"/>
      <c r="G2671" s="1"/>
      <c r="H2671" s="1"/>
      <c r="K2671" s="32"/>
      <c r="L2671" s="9"/>
      <c r="M2671" s="9"/>
    </row>
    <row r="2672" spans="1:16" ht="15.75" customHeight="1" x14ac:dyDescent="0.35">
      <c r="B2672" s="20"/>
      <c r="G2672" s="1"/>
      <c r="H2672" s="1"/>
      <c r="K2672" s="9" t="s">
        <v>300</v>
      </c>
      <c r="L2672" s="9"/>
      <c r="M2672" s="9"/>
    </row>
    <row r="2673" spans="1:16" ht="15.75" customHeight="1" x14ac:dyDescent="0.35">
      <c r="B2673" s="9"/>
      <c r="C2673" s="9"/>
      <c r="D2673" s="9"/>
      <c r="E2673" s="9"/>
      <c r="F2673" s="12"/>
      <c r="G2673" s="12"/>
      <c r="H2673" s="12"/>
      <c r="I2673" s="12"/>
      <c r="J2673" s="12"/>
      <c r="K2673" s="12"/>
      <c r="L2673" s="1"/>
    </row>
    <row r="2674" spans="1:16" ht="15.75" customHeight="1" x14ac:dyDescent="0.35">
      <c r="B2674" s="13"/>
      <c r="C2674" s="13"/>
      <c r="D2674" s="13"/>
      <c r="E2674" s="13"/>
      <c r="F2674" s="13"/>
      <c r="G2674" s="13"/>
      <c r="I2674" s="14"/>
    </row>
    <row r="2675" spans="1:16" x14ac:dyDescent="0.35">
      <c r="B2675" s="13" t="s">
        <v>5</v>
      </c>
      <c r="C2675" s="13" t="s">
        <v>1</v>
      </c>
      <c r="D2675" s="15" t="str">
        <f>VLOOKUP(A2676,Inventory!$A$4:$K$1139,7)</f>
        <v xml:space="preserve">GCBC                               </v>
      </c>
      <c r="F2675" s="13" t="s">
        <v>235</v>
      </c>
      <c r="G2675" s="16"/>
      <c r="H2675" s="14" t="s">
        <v>236</v>
      </c>
      <c r="L2675" s="17"/>
      <c r="M2675" s="17"/>
    </row>
    <row r="2676" spans="1:16" x14ac:dyDescent="0.35">
      <c r="A2676">
        <v>155</v>
      </c>
      <c r="B2676" s="5">
        <v>44310</v>
      </c>
      <c r="C2676" s="15" t="str">
        <f>VLOOKUP(A2676,Inventory!$A$4:$K$1139,2)</f>
        <v>Organic Ethiopian Sidamo 2019 WP Decaf</v>
      </c>
      <c r="F2676" s="18" t="s">
        <v>237</v>
      </c>
      <c r="G2676" s="2" t="s">
        <v>238</v>
      </c>
      <c r="L2676" s="17"/>
      <c r="M2676" s="17"/>
      <c r="P2676" s="8"/>
    </row>
    <row r="2677" spans="1:16" x14ac:dyDescent="0.35">
      <c r="J2677" s="1" t="s">
        <v>16</v>
      </c>
      <c r="L2677" s="19"/>
      <c r="M2677" s="19"/>
    </row>
    <row r="2678" spans="1:16" x14ac:dyDescent="0.35">
      <c r="C2678" s="11" t="s">
        <v>240</v>
      </c>
      <c r="D2678" s="11" t="s">
        <v>241</v>
      </c>
      <c r="E2678" s="11" t="s">
        <v>429</v>
      </c>
      <c r="F2678" s="11">
        <v>367</v>
      </c>
      <c r="G2678" s="11">
        <v>372</v>
      </c>
      <c r="H2678" s="11">
        <v>378</v>
      </c>
      <c r="I2678" s="11">
        <v>384</v>
      </c>
      <c r="J2678" s="11">
        <v>388</v>
      </c>
      <c r="K2678" s="11"/>
      <c r="L2678" s="11"/>
    </row>
    <row r="2679" spans="1:16" ht="15.75" customHeight="1" x14ac:dyDescent="0.35">
      <c r="B2679" s="20" t="s">
        <v>242</v>
      </c>
      <c r="C2679" s="30"/>
      <c r="D2679" s="22" t="s">
        <v>433</v>
      </c>
      <c r="E2679" s="23" t="s">
        <v>244</v>
      </c>
      <c r="F2679" s="23" t="s">
        <v>245</v>
      </c>
      <c r="G2679" s="23" t="s">
        <v>246</v>
      </c>
      <c r="H2679" s="23" t="s">
        <v>247</v>
      </c>
      <c r="I2679" s="23" t="s">
        <v>259</v>
      </c>
      <c r="J2679" s="23" t="s">
        <v>260</v>
      </c>
      <c r="K2679" s="23" t="s">
        <v>261</v>
      </c>
      <c r="O2679" s="4"/>
    </row>
    <row r="2680" spans="1:16" ht="1" customHeight="1" x14ac:dyDescent="0.35">
      <c r="B2680" s="24" t="s">
        <v>249</v>
      </c>
      <c r="C2680" s="25">
        <v>320</v>
      </c>
      <c r="D2680" s="25">
        <v>350</v>
      </c>
      <c r="E2680" s="25">
        <v>377</v>
      </c>
      <c r="F2680" s="25">
        <v>384</v>
      </c>
      <c r="G2680" s="25">
        <v>388</v>
      </c>
      <c r="H2680" s="25">
        <v>392</v>
      </c>
      <c r="I2680" s="25">
        <v>395</v>
      </c>
      <c r="J2680" s="25">
        <v>415</v>
      </c>
      <c r="K2680" s="25">
        <v>415</v>
      </c>
      <c r="O2680" t="e">
        <f>(O2678-3*O2677)/O2679</f>
        <v>#DIV/0!</v>
      </c>
    </row>
    <row r="2681" spans="1:16" ht="15.75" customHeight="1" x14ac:dyDescent="0.35">
      <c r="B2681" s="20" t="s">
        <v>250</v>
      </c>
      <c r="C2681" s="26">
        <v>0.23611111111111113</v>
      </c>
      <c r="D2681" s="26">
        <v>0.30902777777777779</v>
      </c>
      <c r="E2681" s="26">
        <v>0.37847222222222227</v>
      </c>
      <c r="F2681" s="26">
        <f>E2681+'Lookup Tables'!$N$1</f>
        <v>0.39930555555555558</v>
      </c>
      <c r="G2681" s="26">
        <f>F2681+'Lookup Tables'!$N$1</f>
        <v>0.4201388888888889</v>
      </c>
      <c r="H2681" s="26">
        <f>G2681+'Lookup Tables'!$N$1</f>
        <v>0.44097222222222221</v>
      </c>
      <c r="I2681" s="26">
        <f>H2681+'Lookup Tables'!$N$1</f>
        <v>0.46180555555555552</v>
      </c>
      <c r="J2681" s="26">
        <f>I2681+'Lookup Tables'!$M$1</f>
        <v>0.47222222222222221</v>
      </c>
      <c r="K2681" s="26">
        <f>J2681+'Lookup Tables'!$M$1</f>
        <v>0.4826388888888889</v>
      </c>
      <c r="N2681">
        <f>MAX(F2678:M2678)-O2681</f>
        <v>27</v>
      </c>
      <c r="O2681" t="str">
        <f>RIGHT(E2678,3)</f>
        <v>361</v>
      </c>
    </row>
    <row r="2682" spans="1:16" ht="15.75" customHeight="1" x14ac:dyDescent="0.35">
      <c r="B2682" s="20" t="s">
        <v>251</v>
      </c>
      <c r="C2682" s="27">
        <v>0.2</v>
      </c>
      <c r="D2682" s="27">
        <v>0.5</v>
      </c>
      <c r="E2682" s="27"/>
      <c r="F2682" s="27"/>
      <c r="G2682" s="27"/>
      <c r="H2682" s="27"/>
      <c r="I2682" s="27"/>
      <c r="J2682" s="27"/>
      <c r="K2682" s="27"/>
      <c r="N2682" t="str">
        <f xml:space="preserve">  N2681 &amp; " degrees this time"</f>
        <v>27 degrees this time</v>
      </c>
    </row>
    <row r="2683" spans="1:16" ht="15.75" customHeight="1" x14ac:dyDescent="0.35">
      <c r="B2683" s="20" t="s">
        <v>252</v>
      </c>
      <c r="C2683" s="27">
        <v>0.9</v>
      </c>
      <c r="D2683" s="27">
        <v>0.7</v>
      </c>
      <c r="E2683" s="27">
        <v>0.6</v>
      </c>
      <c r="F2683" s="27"/>
      <c r="G2683" s="27"/>
      <c r="H2683" s="27"/>
      <c r="I2683" s="27"/>
      <c r="J2683" s="27"/>
      <c r="K2683" s="27"/>
    </row>
    <row r="2684" spans="1:16" ht="15.75" customHeight="1" x14ac:dyDescent="0.35">
      <c r="B2684" s="20"/>
      <c r="D2684" s="11"/>
      <c r="E2684" s="11"/>
      <c r="F2684" s="28"/>
      <c r="H2684" s="1"/>
      <c r="I2684" s="1"/>
    </row>
    <row r="2685" spans="1:16" ht="15.75" customHeight="1" x14ac:dyDescent="0.35">
      <c r="G2685" s="1" t="s">
        <v>383</v>
      </c>
      <c r="K2685" s="9"/>
      <c r="L2685" s="9"/>
      <c r="M2685" s="9"/>
    </row>
    <row r="2686" spans="1:16" ht="15.75" customHeight="1" x14ac:dyDescent="0.35">
      <c r="B2686" s="20"/>
      <c r="G2686" s="1"/>
      <c r="H2686" s="1"/>
      <c r="K2686" s="9"/>
      <c r="L2686" s="9"/>
      <c r="M2686" s="9"/>
    </row>
    <row r="2687" spans="1:16" ht="15.75" customHeight="1" x14ac:dyDescent="0.35">
      <c r="B2687" s="20"/>
      <c r="G2687" s="1"/>
      <c r="H2687" s="1"/>
      <c r="K2687" s="9" t="s">
        <v>254</v>
      </c>
      <c r="L2687" s="9"/>
      <c r="M2687" s="9"/>
    </row>
    <row r="2688" spans="1:16" ht="15.75" customHeight="1" x14ac:dyDescent="0.35">
      <c r="B2688" s="9"/>
      <c r="C2688" s="9"/>
      <c r="D2688" s="9"/>
      <c r="E2688" s="9"/>
      <c r="F2688" s="12"/>
      <c r="G2688" s="12"/>
      <c r="H2688" s="12"/>
      <c r="I2688" s="12"/>
      <c r="J2688" s="12"/>
      <c r="K2688" s="12"/>
      <c r="L2688" s="1"/>
    </row>
    <row r="2689" spans="1:16" ht="15.75" customHeight="1" x14ac:dyDescent="0.35">
      <c r="B2689" s="13"/>
      <c r="C2689" s="13"/>
      <c r="D2689" s="15"/>
      <c r="H2689" s="14" t="s">
        <v>255</v>
      </c>
      <c r="I2689" s="14"/>
    </row>
    <row r="2690" spans="1:16" x14ac:dyDescent="0.35">
      <c r="B2690" s="13" t="s">
        <v>5</v>
      </c>
      <c r="C2690" s="13" t="s">
        <v>1</v>
      </c>
      <c r="D2690" s="15" t="str">
        <f>VLOOKUP(A2691,Inventory!$A$4:$K$1139,7)</f>
        <v xml:space="preserve">GCBC                               </v>
      </c>
      <c r="F2690" s="13" t="s">
        <v>235</v>
      </c>
      <c r="G2690" s="16"/>
      <c r="H2690" s="14" t="s">
        <v>256</v>
      </c>
      <c r="L2690" s="17"/>
      <c r="M2690" s="17"/>
    </row>
    <row r="2691" spans="1:16" x14ac:dyDescent="0.35">
      <c r="A2691">
        <v>155</v>
      </c>
      <c r="B2691" s="5">
        <v>44310</v>
      </c>
      <c r="C2691" s="15" t="str">
        <f>VLOOKUP(A2691,Inventory!$A$4:$K$1139,2)</f>
        <v>Organic Ethiopian Sidamo 2019 WP Decaf</v>
      </c>
      <c r="F2691" s="18" t="s">
        <v>257</v>
      </c>
      <c r="G2691" s="2" t="s">
        <v>238</v>
      </c>
      <c r="L2691" s="17"/>
      <c r="M2691" s="17"/>
      <c r="P2691" s="8"/>
    </row>
    <row r="2692" spans="1:16" x14ac:dyDescent="0.35">
      <c r="L2692" s="19"/>
      <c r="M2692" s="19"/>
    </row>
    <row r="2693" spans="1:16" x14ac:dyDescent="0.35">
      <c r="C2693" s="11" t="s">
        <v>240</v>
      </c>
      <c r="D2693" s="11" t="s">
        <v>241</v>
      </c>
      <c r="E2693" s="11" t="s">
        <v>426</v>
      </c>
      <c r="F2693" s="11">
        <v>375</v>
      </c>
      <c r="G2693" s="11">
        <v>380</v>
      </c>
      <c r="H2693" s="11">
        <v>384</v>
      </c>
      <c r="I2693" s="11">
        <v>390</v>
      </c>
      <c r="J2693" s="11">
        <v>393</v>
      </c>
      <c r="K2693" s="11">
        <v>397</v>
      </c>
      <c r="L2693" s="11"/>
    </row>
    <row r="2694" spans="1:16" ht="15.75" customHeight="1" x14ac:dyDescent="0.35">
      <c r="B2694" s="20" t="s">
        <v>242</v>
      </c>
      <c r="C2694" s="30"/>
      <c r="D2694" s="30"/>
      <c r="E2694" s="23" t="s">
        <v>244</v>
      </c>
      <c r="F2694" s="23" t="s">
        <v>245</v>
      </c>
      <c r="G2694" s="23" t="s">
        <v>246</v>
      </c>
      <c r="H2694" s="23" t="s">
        <v>247</v>
      </c>
      <c r="I2694" s="23" t="s">
        <v>259</v>
      </c>
      <c r="J2694" s="23" t="s">
        <v>260</v>
      </c>
      <c r="K2694" s="23" t="s">
        <v>261</v>
      </c>
      <c r="O2694" s="4"/>
    </row>
    <row r="2695" spans="1:16" ht="1" customHeight="1" x14ac:dyDescent="0.35">
      <c r="B2695" s="24" t="s">
        <v>249</v>
      </c>
      <c r="C2695" s="25">
        <v>320</v>
      </c>
      <c r="D2695" s="25">
        <v>350</v>
      </c>
      <c r="E2695" s="25">
        <v>377</v>
      </c>
      <c r="F2695" s="25">
        <v>384</v>
      </c>
      <c r="G2695" s="25">
        <v>388</v>
      </c>
      <c r="H2695" s="25">
        <v>392</v>
      </c>
      <c r="I2695" s="25">
        <v>395</v>
      </c>
      <c r="J2695" s="25">
        <v>415</v>
      </c>
      <c r="K2695" s="25">
        <v>415</v>
      </c>
      <c r="O2695" t="e">
        <f>(O2693-3*O2692)/O2694</f>
        <v>#DIV/0!</v>
      </c>
    </row>
    <row r="2696" spans="1:16" ht="15.75" customHeight="1" x14ac:dyDescent="0.35">
      <c r="B2696" s="20" t="s">
        <v>250</v>
      </c>
      <c r="C2696" s="26">
        <v>0.21527777777777779</v>
      </c>
      <c r="D2696" s="26">
        <v>0.28819444444444448</v>
      </c>
      <c r="E2696" s="26">
        <v>0.38194444444444442</v>
      </c>
      <c r="F2696" s="26">
        <f>E2696+'Lookup Tables'!$N$1</f>
        <v>0.40277777777777773</v>
      </c>
      <c r="G2696" s="26">
        <f>F2696+'Lookup Tables'!$N$1</f>
        <v>0.42361111111111105</v>
      </c>
      <c r="H2696" s="26">
        <f>G2696+'Lookup Tables'!$N$1</f>
        <v>0.44444444444444436</v>
      </c>
      <c r="I2696" s="26">
        <f>H2696+'Lookup Tables'!$N$1</f>
        <v>0.46527777777777768</v>
      </c>
      <c r="J2696" s="26">
        <f>I2696+'Lookup Tables'!$M$1</f>
        <v>0.47569444444444436</v>
      </c>
      <c r="K2696" s="26">
        <f>J2696+'Lookup Tables'!$M$1</f>
        <v>0.48611111111111105</v>
      </c>
      <c r="N2696">
        <f>MAX(F2693:M2693)-O2696</f>
        <v>27</v>
      </c>
      <c r="O2696" t="str">
        <f>RIGHT(E2693,3)</f>
        <v>370</v>
      </c>
    </row>
    <row r="2697" spans="1:16" ht="15.75" customHeight="1" x14ac:dyDescent="0.35">
      <c r="B2697" s="20" t="s">
        <v>251</v>
      </c>
      <c r="C2697" s="27">
        <v>0.2</v>
      </c>
      <c r="D2697" s="27">
        <v>0.5</v>
      </c>
      <c r="E2697" s="27"/>
      <c r="F2697" s="27"/>
      <c r="G2697" s="27"/>
      <c r="H2697" s="27"/>
      <c r="I2697" s="27"/>
      <c r="J2697" s="27"/>
      <c r="K2697" s="25"/>
      <c r="N2697" t="str">
        <f xml:space="preserve">  N2696 &amp; " degrees this time"</f>
        <v>27 degrees this time</v>
      </c>
    </row>
    <row r="2698" spans="1:16" ht="15.75" customHeight="1" x14ac:dyDescent="0.35">
      <c r="B2698" s="20" t="s">
        <v>252</v>
      </c>
      <c r="C2698" s="27">
        <v>0.9</v>
      </c>
      <c r="D2698" s="27">
        <v>0.7</v>
      </c>
      <c r="E2698" s="27">
        <v>0.6</v>
      </c>
      <c r="F2698" s="27"/>
      <c r="G2698" s="27"/>
      <c r="H2698" s="27"/>
      <c r="I2698" s="27"/>
      <c r="J2698" s="27"/>
      <c r="K2698" s="27"/>
    </row>
    <row r="2699" spans="1:16" ht="15.75" customHeight="1" x14ac:dyDescent="0.35">
      <c r="B2699" s="20"/>
      <c r="D2699" s="11"/>
      <c r="E2699" s="11"/>
      <c r="F2699" s="28"/>
      <c r="H2699" s="1"/>
    </row>
    <row r="2700" spans="1:16" ht="15.75" customHeight="1" x14ac:dyDescent="0.35">
      <c r="B2700" s="1" t="s">
        <v>385</v>
      </c>
      <c r="F2700" t="s">
        <v>263</v>
      </c>
      <c r="G2700" s="1"/>
      <c r="K2700" s="9"/>
      <c r="L2700" s="9"/>
      <c r="M2700" s="9"/>
    </row>
    <row r="2701" spans="1:16" ht="15.75" customHeight="1" x14ac:dyDescent="0.35">
      <c r="B2701" s="20" t="s">
        <v>264</v>
      </c>
      <c r="D2701" s="29"/>
      <c r="F2701" t="s">
        <v>265</v>
      </c>
      <c r="G2701" s="1"/>
      <c r="H2701" s="1"/>
      <c r="K2701" s="9" t="s">
        <v>386</v>
      </c>
      <c r="L2701" s="9"/>
      <c r="M2701" s="9"/>
    </row>
    <row r="2702" spans="1:16" ht="15.75" customHeight="1" x14ac:dyDescent="0.35">
      <c r="B2702" s="20" t="s">
        <v>267</v>
      </c>
      <c r="F2702" t="s">
        <v>268</v>
      </c>
      <c r="G2702" s="1"/>
      <c r="H2702" s="1"/>
      <c r="K2702" s="9" t="s">
        <v>254</v>
      </c>
      <c r="L2702" s="9"/>
      <c r="M2702" s="9"/>
    </row>
    <row r="2703" spans="1:16" ht="15.75" customHeight="1" x14ac:dyDescent="0.35">
      <c r="B2703" s="9"/>
      <c r="C2703" s="9"/>
      <c r="D2703" s="9"/>
      <c r="E2703" s="9"/>
      <c r="F2703" s="12"/>
      <c r="G2703" s="12"/>
      <c r="H2703" s="12"/>
      <c r="I2703" s="12"/>
      <c r="J2703" s="12"/>
      <c r="K2703" s="12"/>
      <c r="L2703" s="1"/>
    </row>
    <row r="2704" spans="1:16" ht="15.75" customHeight="1" x14ac:dyDescent="0.35">
      <c r="B2704" s="13"/>
      <c r="C2704" s="13"/>
      <c r="D2704" s="13"/>
      <c r="E2704" s="13"/>
      <c r="G2704" s="13"/>
      <c r="I2704" s="14"/>
    </row>
    <row r="2705" spans="1:16" x14ac:dyDescent="0.35">
      <c r="B2705" s="13" t="s">
        <v>5</v>
      </c>
      <c r="C2705" s="13" t="s">
        <v>1</v>
      </c>
      <c r="D2705" s="15" t="str">
        <f>VLOOKUP(A2706,Inventory!$A$4:$K$1139,7)</f>
        <v xml:space="preserve">Sweet Marias                       </v>
      </c>
      <c r="F2705" s="13" t="s">
        <v>235</v>
      </c>
      <c r="G2705" s="16"/>
      <c r="H2705" s="14" t="s">
        <v>236</v>
      </c>
      <c r="L2705" s="17"/>
      <c r="M2705" s="17"/>
    </row>
    <row r="2706" spans="1:16" x14ac:dyDescent="0.35">
      <c r="A2706">
        <v>157</v>
      </c>
      <c r="B2706" s="5">
        <v>44310</v>
      </c>
      <c r="C2706" s="15" t="str">
        <f>VLOOKUP(A2706,Inventory!$A$4:$K$1139,2)</f>
        <v>Burundi Collines 2020 SWP Decaf</v>
      </c>
      <c r="F2706" s="18" t="s">
        <v>237</v>
      </c>
      <c r="G2706" s="2" t="s">
        <v>238</v>
      </c>
      <c r="L2706" s="17"/>
      <c r="M2706" s="17"/>
      <c r="P2706" s="8"/>
    </row>
    <row r="2707" spans="1:16" x14ac:dyDescent="0.35">
      <c r="I2707" s="2" t="s">
        <v>239</v>
      </c>
      <c r="J2707" s="1" t="s">
        <v>16</v>
      </c>
      <c r="L2707" s="19"/>
      <c r="M2707" s="19"/>
    </row>
    <row r="2708" spans="1:16" x14ac:dyDescent="0.35">
      <c r="C2708" s="11" t="s">
        <v>240</v>
      </c>
      <c r="D2708" s="11" t="s">
        <v>241</v>
      </c>
      <c r="E2708" s="11" t="s">
        <v>319</v>
      </c>
      <c r="F2708" s="11">
        <v>380</v>
      </c>
      <c r="G2708" s="11">
        <v>388</v>
      </c>
      <c r="H2708" s="11">
        <v>395</v>
      </c>
      <c r="I2708" s="11">
        <v>398</v>
      </c>
      <c r="J2708" s="11"/>
      <c r="K2708" s="11"/>
      <c r="L2708" s="11"/>
    </row>
    <row r="2709" spans="1:16" ht="15.75" customHeight="1" x14ac:dyDescent="0.35">
      <c r="B2709" s="20" t="s">
        <v>242</v>
      </c>
      <c r="C2709" s="21"/>
      <c r="D2709" s="22" t="s">
        <v>333</v>
      </c>
      <c r="E2709" s="23" t="s">
        <v>244</v>
      </c>
      <c r="F2709" s="23" t="s">
        <v>245</v>
      </c>
      <c r="G2709" s="23" t="s">
        <v>246</v>
      </c>
      <c r="H2709" s="23" t="s">
        <v>247</v>
      </c>
      <c r="I2709" s="23" t="s">
        <v>248</v>
      </c>
      <c r="J2709" s="23" t="s">
        <v>259</v>
      </c>
      <c r="O2709" s="4"/>
    </row>
    <row r="2710" spans="1:16" ht="1" customHeight="1" x14ac:dyDescent="0.35">
      <c r="B2710" s="24" t="s">
        <v>249</v>
      </c>
      <c r="C2710" s="25">
        <v>320</v>
      </c>
      <c r="D2710" s="25">
        <v>350</v>
      </c>
      <c r="E2710" s="25">
        <v>377</v>
      </c>
      <c r="F2710" s="25">
        <v>384</v>
      </c>
      <c r="G2710" s="25">
        <v>388</v>
      </c>
      <c r="H2710" s="25">
        <v>392</v>
      </c>
      <c r="I2710" s="25"/>
      <c r="J2710" s="25">
        <v>415</v>
      </c>
      <c r="O2710" t="e">
        <f>(O2708-3*O2707)/O2709</f>
        <v>#DIV/0!</v>
      </c>
    </row>
    <row r="2711" spans="1:16" ht="15.75" customHeight="1" x14ac:dyDescent="0.35">
      <c r="B2711" s="20" t="s">
        <v>250</v>
      </c>
      <c r="C2711" s="26">
        <v>0.23958333333333334</v>
      </c>
      <c r="D2711" s="26">
        <v>0.31597222222222221</v>
      </c>
      <c r="E2711" s="26">
        <v>0.4236111111111111</v>
      </c>
      <c r="F2711" s="26">
        <f>E2711+'Lookup Tables'!$N$1</f>
        <v>0.44444444444444442</v>
      </c>
      <c r="G2711" s="26">
        <f>F2711+'Lookup Tables'!$N$1</f>
        <v>0.46527777777777773</v>
      </c>
      <c r="H2711" s="26">
        <f>G2711+'Lookup Tables'!$N$1</f>
        <v>0.48611111111111105</v>
      </c>
      <c r="I2711" s="26">
        <f>H2711+'Lookup Tables'!$S$1</f>
        <v>0.49652777777777773</v>
      </c>
      <c r="J2711" s="26">
        <f>I2711+'Lookup Tables'!$M$1</f>
        <v>0.50694444444444442</v>
      </c>
      <c r="N2711">
        <f>MAX(F2708:M2708)-O2711</f>
        <v>25</v>
      </c>
      <c r="O2711" t="str">
        <f>RIGHT(E2708,3)</f>
        <v>373</v>
      </c>
    </row>
    <row r="2712" spans="1:16" ht="15.75" customHeight="1" x14ac:dyDescent="0.35">
      <c r="B2712" s="20" t="s">
        <v>251</v>
      </c>
      <c r="C2712" s="27">
        <v>0.2</v>
      </c>
      <c r="D2712" s="27">
        <v>0.5</v>
      </c>
      <c r="E2712" s="27"/>
      <c r="F2712" s="27"/>
      <c r="G2712" s="27"/>
      <c r="H2712" s="27"/>
      <c r="I2712" s="25"/>
      <c r="J2712" s="27"/>
      <c r="N2712" t="str">
        <f xml:space="preserve">  N2711 &amp; " degrees this time"</f>
        <v>25 degrees this time</v>
      </c>
    </row>
    <row r="2713" spans="1:16" ht="15.75" customHeight="1" x14ac:dyDescent="0.35">
      <c r="B2713" s="20" t="s">
        <v>252</v>
      </c>
      <c r="C2713" s="27">
        <v>0.9</v>
      </c>
      <c r="D2713" s="27">
        <v>0.7</v>
      </c>
      <c r="E2713" s="27">
        <v>0.6</v>
      </c>
      <c r="F2713" s="27"/>
      <c r="G2713" s="27"/>
      <c r="H2713" s="27"/>
      <c r="I2713" s="27" t="s">
        <v>275</v>
      </c>
      <c r="J2713" s="27"/>
    </row>
    <row r="2714" spans="1:16" ht="15.75" customHeight="1" x14ac:dyDescent="0.35">
      <c r="B2714" s="20"/>
      <c r="D2714" s="11"/>
      <c r="E2714" s="11"/>
      <c r="F2714" s="28"/>
      <c r="H2714" s="1"/>
      <c r="I2714" s="1"/>
    </row>
    <row r="2715" spans="1:16" ht="15.75" customHeight="1" x14ac:dyDescent="0.35">
      <c r="C2715" s="1" t="s">
        <v>454</v>
      </c>
      <c r="G2715" s="1" t="s">
        <v>253</v>
      </c>
      <c r="K2715" s="12"/>
      <c r="L2715" s="9"/>
      <c r="M2715" s="9"/>
    </row>
    <row r="2716" spans="1:16" ht="15.75" customHeight="1" x14ac:dyDescent="0.35">
      <c r="B2716" s="20"/>
      <c r="G2716" s="1"/>
      <c r="H2716" s="1"/>
      <c r="K2716" s="9"/>
      <c r="L2716" s="9"/>
      <c r="M2716" s="9"/>
    </row>
    <row r="2717" spans="1:16" ht="15.75" customHeight="1" x14ac:dyDescent="0.35">
      <c r="B2717" s="20"/>
      <c r="G2717" s="1"/>
      <c r="H2717" s="1"/>
      <c r="K2717" s="9" t="s">
        <v>254</v>
      </c>
      <c r="L2717" s="9"/>
      <c r="M2717" s="9"/>
    </row>
    <row r="2718" spans="1:16" ht="15.75" customHeight="1" x14ac:dyDescent="0.35">
      <c r="B2718" s="9"/>
      <c r="C2718" s="9"/>
      <c r="D2718" s="9"/>
      <c r="E2718" s="9"/>
      <c r="F2718" s="12"/>
      <c r="G2718" s="12"/>
      <c r="H2718" s="12"/>
      <c r="I2718" s="12"/>
      <c r="J2718" s="12"/>
      <c r="K2718" s="12"/>
      <c r="L2718" s="1"/>
    </row>
    <row r="2719" spans="1:16" ht="15.75" customHeight="1" x14ac:dyDescent="0.35">
      <c r="B2719" s="13"/>
      <c r="C2719" s="13"/>
      <c r="D2719" s="15"/>
      <c r="H2719" s="14" t="s">
        <v>255</v>
      </c>
      <c r="I2719" s="14"/>
    </row>
    <row r="2720" spans="1:16" x14ac:dyDescent="0.35">
      <c r="B2720" s="13" t="s">
        <v>5</v>
      </c>
      <c r="C2720" s="13" t="s">
        <v>1</v>
      </c>
      <c r="D2720" s="15" t="str">
        <f>VLOOKUP(A2721,Inventory!$A$4:$K$1139,7)</f>
        <v xml:space="preserve">Sweet Marias                       </v>
      </c>
      <c r="F2720" s="13" t="s">
        <v>235</v>
      </c>
      <c r="G2720" s="16"/>
      <c r="H2720" s="14" t="s">
        <v>256</v>
      </c>
      <c r="K2720" s="12" t="s">
        <v>334</v>
      </c>
      <c r="L2720" s="9"/>
      <c r="M2720" s="9"/>
    </row>
    <row r="2721" spans="1:16" x14ac:dyDescent="0.35">
      <c r="A2721">
        <v>157</v>
      </c>
      <c r="B2721" s="5">
        <v>44310</v>
      </c>
      <c r="C2721" s="15" t="str">
        <f>VLOOKUP(A2721,Inventory!$A$4:$K$1139,2)</f>
        <v>Burundi Collines 2020 SWP Decaf</v>
      </c>
      <c r="F2721" s="18" t="s">
        <v>257</v>
      </c>
      <c r="G2721" s="2" t="s">
        <v>238</v>
      </c>
      <c r="P2721" s="8"/>
    </row>
    <row r="2722" spans="1:16" x14ac:dyDescent="0.35">
      <c r="H2722" s="2" t="s">
        <v>258</v>
      </c>
    </row>
    <row r="2723" spans="1:16" x14ac:dyDescent="0.35">
      <c r="C2723" s="11" t="s">
        <v>240</v>
      </c>
      <c r="D2723" s="11" t="s">
        <v>241</v>
      </c>
      <c r="E2723" s="11" t="s">
        <v>450</v>
      </c>
      <c r="F2723" s="11">
        <v>380</v>
      </c>
      <c r="G2723" s="11">
        <v>386</v>
      </c>
      <c r="H2723" s="11">
        <v>391</v>
      </c>
      <c r="I2723" s="11">
        <v>397</v>
      </c>
      <c r="J2723" s="11"/>
      <c r="K2723" s="11"/>
      <c r="L2723" s="11"/>
    </row>
    <row r="2724" spans="1:16" ht="15.75" customHeight="1" x14ac:dyDescent="0.35">
      <c r="B2724" s="20" t="s">
        <v>242</v>
      </c>
      <c r="C2724" s="21"/>
      <c r="D2724" s="22" t="s">
        <v>294</v>
      </c>
      <c r="E2724" s="23" t="s">
        <v>244</v>
      </c>
      <c r="F2724" s="23" t="s">
        <v>245</v>
      </c>
      <c r="G2724" s="23" t="s">
        <v>246</v>
      </c>
      <c r="H2724" s="23" t="s">
        <v>247</v>
      </c>
      <c r="I2724" s="23" t="s">
        <v>259</v>
      </c>
      <c r="J2724" s="23" t="s">
        <v>260</v>
      </c>
      <c r="K2724" s="23" t="s">
        <v>261</v>
      </c>
      <c r="O2724" s="4"/>
    </row>
    <row r="2725" spans="1:16" ht="1" customHeight="1" x14ac:dyDescent="0.35">
      <c r="B2725" s="24" t="s">
        <v>249</v>
      </c>
      <c r="C2725" s="25">
        <v>320</v>
      </c>
      <c r="D2725" s="25">
        <v>350</v>
      </c>
      <c r="E2725" s="25">
        <v>377</v>
      </c>
      <c r="F2725" s="25">
        <v>384</v>
      </c>
      <c r="G2725" s="25">
        <v>388</v>
      </c>
      <c r="H2725" s="25">
        <v>392</v>
      </c>
      <c r="I2725" s="25">
        <v>395</v>
      </c>
      <c r="J2725" s="25">
        <v>415</v>
      </c>
      <c r="K2725" s="25">
        <v>415</v>
      </c>
      <c r="O2725" t="e">
        <f>(O2723-3*O2722)/O2724</f>
        <v>#DIV/0!</v>
      </c>
    </row>
    <row r="2726" spans="1:16" ht="15.75" customHeight="1" x14ac:dyDescent="0.35">
      <c r="B2726" s="20" t="s">
        <v>250</v>
      </c>
      <c r="C2726" s="26">
        <v>0.21527777777777779</v>
      </c>
      <c r="D2726" s="26">
        <v>0.29166666666666669</v>
      </c>
      <c r="E2726" s="26">
        <v>0.40972222222222227</v>
      </c>
      <c r="F2726" s="26">
        <f>E2726+'Lookup Tables'!$N$1</f>
        <v>0.43055555555555558</v>
      </c>
      <c r="G2726" s="26">
        <f>F2726+'Lookup Tables'!$N$1</f>
        <v>0.4513888888888889</v>
      </c>
      <c r="H2726" s="26">
        <f>G2726+'Lookup Tables'!$N$1</f>
        <v>0.47222222222222221</v>
      </c>
      <c r="I2726" s="26">
        <f>H2726+'Lookup Tables'!$N$1</f>
        <v>0.49305555555555552</v>
      </c>
      <c r="J2726" s="26">
        <f>I2726+'Lookup Tables'!$M$1</f>
        <v>0.50347222222222221</v>
      </c>
      <c r="K2726" s="26">
        <f>J2726+'Lookup Tables'!$M$1</f>
        <v>0.51388888888888884</v>
      </c>
      <c r="N2726">
        <f>MAX(F2723:M2723)-O2726</f>
        <v>22</v>
      </c>
      <c r="O2726" t="str">
        <f>RIGHT(E2723,3)</f>
        <v>375</v>
      </c>
    </row>
    <row r="2727" spans="1:16" ht="15.75" customHeight="1" x14ac:dyDescent="0.35">
      <c r="B2727" s="20" t="s">
        <v>251</v>
      </c>
      <c r="C2727" s="27">
        <v>0.2</v>
      </c>
      <c r="D2727" s="27">
        <v>0.5</v>
      </c>
      <c r="E2727" s="27"/>
      <c r="F2727" s="27"/>
      <c r="G2727" s="27"/>
      <c r="H2727" s="27"/>
      <c r="I2727" s="27"/>
      <c r="J2727" s="27"/>
      <c r="K2727" s="25"/>
      <c r="N2727" t="str">
        <f xml:space="preserve">  N2726 &amp; " degrees this time"</f>
        <v>22 degrees this time</v>
      </c>
    </row>
    <row r="2728" spans="1:16" ht="15.75" customHeight="1" x14ac:dyDescent="0.35">
      <c r="B2728" s="20" t="s">
        <v>252</v>
      </c>
      <c r="C2728" s="27">
        <v>0.9</v>
      </c>
      <c r="D2728" s="27">
        <v>0.7</v>
      </c>
      <c r="E2728" s="27">
        <v>0.6</v>
      </c>
      <c r="F2728" s="27"/>
      <c r="G2728" s="27"/>
      <c r="H2728" s="27"/>
      <c r="I2728" s="27"/>
      <c r="J2728" s="27"/>
      <c r="K2728" s="27"/>
    </row>
    <row r="2729" spans="1:16" ht="15.75" customHeight="1" x14ac:dyDescent="0.35">
      <c r="B2729" s="20"/>
      <c r="D2729" s="11"/>
      <c r="E2729" s="11"/>
      <c r="F2729" s="28"/>
      <c r="H2729" s="1"/>
    </row>
    <row r="2730" spans="1:16" ht="15.75" customHeight="1" x14ac:dyDescent="0.35">
      <c r="B2730" s="1" t="s">
        <v>262</v>
      </c>
      <c r="F2730" t="s">
        <v>263</v>
      </c>
      <c r="G2730" s="1"/>
      <c r="K2730" s="12"/>
      <c r="L2730" s="9"/>
      <c r="M2730" s="9"/>
    </row>
    <row r="2731" spans="1:16" ht="15.75" customHeight="1" x14ac:dyDescent="0.35">
      <c r="B2731" s="20" t="s">
        <v>264</v>
      </c>
      <c r="D2731" s="29"/>
      <c r="F2731" t="s">
        <v>265</v>
      </c>
      <c r="G2731" s="1"/>
      <c r="H2731" s="1"/>
      <c r="K2731" s="9" t="s">
        <v>266</v>
      </c>
      <c r="L2731" s="9"/>
      <c r="M2731" s="9"/>
    </row>
    <row r="2732" spans="1:16" ht="15.75" customHeight="1" x14ac:dyDescent="0.35">
      <c r="B2732" s="20" t="s">
        <v>267</v>
      </c>
      <c r="F2732" t="s">
        <v>268</v>
      </c>
      <c r="G2732" s="1"/>
      <c r="H2732" s="1"/>
      <c r="K2732" s="9" t="s">
        <v>254</v>
      </c>
      <c r="L2732" s="9"/>
      <c r="M2732" s="9"/>
    </row>
    <row r="2733" spans="1:16" ht="15.75" customHeight="1" x14ac:dyDescent="0.35">
      <c r="B2733" s="9"/>
      <c r="C2733" s="9"/>
      <c r="D2733" s="9"/>
      <c r="E2733" s="9"/>
      <c r="F2733" s="12"/>
      <c r="G2733" s="12"/>
      <c r="H2733" s="12"/>
      <c r="I2733" s="12"/>
      <c r="J2733" s="12"/>
      <c r="K2733" s="12"/>
      <c r="L2733" s="1"/>
    </row>
    <row r="2734" spans="1:16" ht="15.75" customHeight="1" x14ac:dyDescent="0.35">
      <c r="B2734" s="13"/>
      <c r="C2734" s="13"/>
      <c r="D2734" s="13"/>
      <c r="E2734" s="13"/>
      <c r="F2734" s="13"/>
      <c r="G2734" s="13"/>
      <c r="H2734" s="13"/>
      <c r="I2734" s="13"/>
    </row>
    <row r="2735" spans="1:16" x14ac:dyDescent="0.35">
      <c r="B2735" s="13" t="s">
        <v>5</v>
      </c>
      <c r="C2735" s="13" t="s">
        <v>1</v>
      </c>
      <c r="D2735" s="15" t="str">
        <f>VLOOKUP(A2736,Inventory!$A$4:$K$1139,7)</f>
        <v>Coffee Bean corral</v>
      </c>
      <c r="F2735" s="13" t="s">
        <v>235</v>
      </c>
      <c r="G2735" s="16"/>
      <c r="L2735" s="17"/>
      <c r="M2735" s="17"/>
    </row>
    <row r="2736" spans="1:16" x14ac:dyDescent="0.35">
      <c r="A2736">
        <v>152</v>
      </c>
      <c r="B2736" s="5">
        <v>44303</v>
      </c>
      <c r="C2736" s="15" t="str">
        <f>VLOOKUP(A2736,Inventory!$A$4:$K$1139,2)</f>
        <v>Nicaragua Organic Jinotega Finca La Isabelia 2018</v>
      </c>
      <c r="E2736" s="11"/>
      <c r="F2736" s="34" t="s">
        <v>279</v>
      </c>
      <c r="G2736" s="2" t="s">
        <v>286</v>
      </c>
      <c r="L2736" s="17"/>
      <c r="M2736" s="17"/>
      <c r="P2736" s="8"/>
    </row>
    <row r="2737" spans="1:16" x14ac:dyDescent="0.35">
      <c r="D2737" s="11"/>
      <c r="E2737" s="11"/>
      <c r="G2737" s="16"/>
      <c r="L2737" s="19"/>
      <c r="M2737" s="19"/>
    </row>
    <row r="2738" spans="1:16" x14ac:dyDescent="0.35">
      <c r="B2738" s="20"/>
      <c r="C2738" s="11" t="s">
        <v>240</v>
      </c>
      <c r="D2738" s="11" t="s">
        <v>395</v>
      </c>
      <c r="E2738" s="11" t="s">
        <v>430</v>
      </c>
      <c r="F2738" s="11">
        <v>377</v>
      </c>
      <c r="G2738" s="11">
        <v>385</v>
      </c>
      <c r="H2738" s="11">
        <v>389</v>
      </c>
      <c r="I2738" s="11" t="s">
        <v>313</v>
      </c>
      <c r="J2738" s="11"/>
      <c r="K2738" s="28"/>
      <c r="L2738" s="28"/>
    </row>
    <row r="2739" spans="1:16" ht="15.75" customHeight="1" x14ac:dyDescent="0.35">
      <c r="B2739" s="20" t="s">
        <v>242</v>
      </c>
      <c r="C2739" s="21"/>
      <c r="D2739" s="22" t="s">
        <v>442</v>
      </c>
      <c r="E2739" s="23" t="s">
        <v>244</v>
      </c>
      <c r="F2739" s="23" t="s">
        <v>245</v>
      </c>
      <c r="G2739" s="23" t="s">
        <v>246</v>
      </c>
      <c r="H2739" s="23" t="s">
        <v>247</v>
      </c>
      <c r="O2739" s="4"/>
    </row>
    <row r="2740" spans="1:16" ht="1" customHeight="1" x14ac:dyDescent="0.35">
      <c r="B2740" s="24" t="s">
        <v>249</v>
      </c>
      <c r="C2740" s="25"/>
      <c r="D2740" s="25"/>
      <c r="E2740" s="25"/>
      <c r="F2740" s="25"/>
      <c r="G2740" s="25"/>
      <c r="H2740" s="25"/>
      <c r="O2740" t="e">
        <f>(O2738-3*O2737)/O2739</f>
        <v>#DIV/0!</v>
      </c>
    </row>
    <row r="2741" spans="1:16" ht="15.75" customHeight="1" x14ac:dyDescent="0.35">
      <c r="B2741" s="20" t="s">
        <v>250</v>
      </c>
      <c r="C2741" s="26">
        <v>0.21875</v>
      </c>
      <c r="D2741" s="26">
        <v>0.28819444444444448</v>
      </c>
      <c r="E2741" s="26">
        <v>0.38541666666666669</v>
      </c>
      <c r="F2741" s="26">
        <f>E2741+'Lookup Tables'!$N$1</f>
        <v>0.40625</v>
      </c>
      <c r="G2741" s="26">
        <f>F2741+'Lookup Tables'!$N$1</f>
        <v>0.42708333333333331</v>
      </c>
      <c r="H2741" s="26">
        <f>G2741+'Lookup Tables'!$S$1</f>
        <v>0.4375</v>
      </c>
      <c r="I2741" s="11"/>
      <c r="J2741" s="11"/>
      <c r="K2741" s="11"/>
      <c r="N2741">
        <f>MAX(F2738:M2738)-O2741</f>
        <v>21</v>
      </c>
      <c r="O2741" t="str">
        <f>RIGHT(E2738,3)</f>
        <v>368</v>
      </c>
    </row>
    <row r="2742" spans="1:16" ht="15.75" customHeight="1" x14ac:dyDescent="0.35">
      <c r="B2742" s="20" t="s">
        <v>251</v>
      </c>
      <c r="C2742" s="27">
        <v>0.2</v>
      </c>
      <c r="D2742" s="27">
        <v>0.5</v>
      </c>
      <c r="E2742" s="27"/>
      <c r="F2742" s="27"/>
      <c r="G2742" s="27" t="s">
        <v>274</v>
      </c>
      <c r="H2742" s="27"/>
      <c r="N2742" t="str">
        <f xml:space="preserve">  N2741 &amp; " degrees this time"</f>
        <v>21 degrees this time</v>
      </c>
    </row>
    <row r="2743" spans="1:16" ht="15.75" customHeight="1" x14ac:dyDescent="0.35">
      <c r="B2743" s="20" t="s">
        <v>252</v>
      </c>
      <c r="C2743" s="27">
        <v>0.9</v>
      </c>
      <c r="D2743" s="27">
        <v>0.7</v>
      </c>
      <c r="E2743" s="27">
        <v>0.6</v>
      </c>
      <c r="F2743" s="27"/>
      <c r="G2743" s="27"/>
      <c r="H2743" s="27" t="s">
        <v>275</v>
      </c>
    </row>
    <row r="2744" spans="1:16" ht="15.75" customHeight="1" x14ac:dyDescent="0.35">
      <c r="B2744" s="20"/>
      <c r="D2744" s="11"/>
      <c r="E2744" s="11"/>
      <c r="F2744" s="11"/>
      <c r="H2744" s="55"/>
    </row>
    <row r="2745" spans="1:16" ht="15.75" customHeight="1" x14ac:dyDescent="0.35">
      <c r="B2745" s="20"/>
      <c r="G2745" s="1" t="s">
        <v>396</v>
      </c>
      <c r="K2745" s="32" t="s">
        <v>345</v>
      </c>
      <c r="L2745" s="9"/>
      <c r="M2745" s="9"/>
    </row>
    <row r="2746" spans="1:16" ht="15.75" customHeight="1" x14ac:dyDescent="0.35">
      <c r="B2746" s="30"/>
      <c r="G2746" s="1"/>
      <c r="H2746" s="1"/>
      <c r="K2746" s="32"/>
      <c r="L2746" s="9"/>
      <c r="M2746" s="9"/>
    </row>
    <row r="2747" spans="1:16" ht="15.75" customHeight="1" x14ac:dyDescent="0.35">
      <c r="B2747" s="30"/>
      <c r="G2747" s="1"/>
      <c r="H2747" s="1"/>
      <c r="K2747" s="32" t="s">
        <v>254</v>
      </c>
      <c r="L2747" s="9"/>
      <c r="M2747" s="9"/>
    </row>
    <row r="2748" spans="1:16" ht="15.75" customHeight="1" x14ac:dyDescent="0.35">
      <c r="B2748" s="9"/>
      <c r="C2748" s="9"/>
      <c r="D2748" s="9"/>
      <c r="E2748" s="9"/>
      <c r="F2748" s="12"/>
      <c r="G2748" s="12"/>
      <c r="H2748" s="12"/>
      <c r="I2748" s="12"/>
      <c r="J2748" s="12"/>
      <c r="K2748" s="12"/>
      <c r="L2748" s="1"/>
    </row>
    <row r="2749" spans="1:16" ht="15.75" customHeight="1" x14ac:dyDescent="0.35">
      <c r="B2749" s="13"/>
      <c r="C2749" s="13"/>
      <c r="D2749" s="13"/>
      <c r="E2749" s="13"/>
      <c r="F2749" s="13"/>
      <c r="G2749" s="13"/>
      <c r="H2749" s="14" t="s">
        <v>255</v>
      </c>
      <c r="I2749" s="13"/>
    </row>
    <row r="2750" spans="1:16" x14ac:dyDescent="0.35">
      <c r="B2750" s="13" t="s">
        <v>5</v>
      </c>
      <c r="C2750" s="13" t="s">
        <v>1</v>
      </c>
      <c r="D2750" s="15" t="str">
        <f>VLOOKUP(A2751,Inventory!$A$4:$K$1139,7)</f>
        <v xml:space="preserve">Klatch                             </v>
      </c>
      <c r="F2750" s="13" t="s">
        <v>235</v>
      </c>
      <c r="G2750" s="16"/>
      <c r="L2750" s="17"/>
      <c r="M2750" s="17"/>
    </row>
    <row r="2751" spans="1:16" x14ac:dyDescent="0.35">
      <c r="A2751">
        <v>154</v>
      </c>
      <c r="B2751" s="5">
        <v>44303</v>
      </c>
      <c r="C2751" s="15" t="str">
        <f>VLOOKUP(A2751,Inventory!$A$4:$K$1139,2)</f>
        <v>Panama Elida Natural 2019</v>
      </c>
      <c r="F2751" s="31" t="s">
        <v>291</v>
      </c>
      <c r="G2751" s="2" t="s">
        <v>270</v>
      </c>
      <c r="L2751" s="17"/>
      <c r="M2751" s="17"/>
      <c r="P2751" s="8"/>
    </row>
    <row r="2752" spans="1:16" x14ac:dyDescent="0.35">
      <c r="F2752" s="13"/>
      <c r="G2752" s="16"/>
      <c r="L2752" s="19"/>
      <c r="M2752" s="19"/>
    </row>
    <row r="2753" spans="1:16" x14ac:dyDescent="0.35">
      <c r="B2753" s="20"/>
      <c r="C2753" s="11" t="s">
        <v>240</v>
      </c>
      <c r="D2753" s="11" t="s">
        <v>272</v>
      </c>
      <c r="E2753" s="11" t="s">
        <v>440</v>
      </c>
      <c r="F2753" s="11">
        <v>378</v>
      </c>
      <c r="G2753" s="11">
        <v>386</v>
      </c>
      <c r="H2753" s="11">
        <v>389</v>
      </c>
      <c r="I2753" s="11" t="s">
        <v>420</v>
      </c>
      <c r="J2753" s="11"/>
      <c r="K2753" s="28"/>
      <c r="L2753" s="28"/>
    </row>
    <row r="2754" spans="1:16" ht="15.75" customHeight="1" x14ac:dyDescent="0.35">
      <c r="B2754" s="20" t="s">
        <v>242</v>
      </c>
      <c r="C2754" s="30"/>
      <c r="D2754" s="30"/>
      <c r="E2754" s="23" t="s">
        <v>244</v>
      </c>
      <c r="F2754" s="23" t="s">
        <v>245</v>
      </c>
      <c r="G2754" s="23" t="s">
        <v>246</v>
      </c>
      <c r="H2754" s="23" t="s">
        <v>273</v>
      </c>
      <c r="O2754" s="4"/>
    </row>
    <row r="2755" spans="1:16" ht="1" customHeight="1" x14ac:dyDescent="0.35">
      <c r="B2755" s="24" t="s">
        <v>249</v>
      </c>
      <c r="C2755" s="25"/>
      <c r="D2755" s="25"/>
      <c r="E2755" s="25"/>
      <c r="F2755" s="25"/>
      <c r="G2755" s="25"/>
      <c r="H2755" s="25"/>
      <c r="O2755" t="e">
        <f>(O2753-3*O2752)/O2754</f>
        <v>#DIV/0!</v>
      </c>
    </row>
    <row r="2756" spans="1:16" ht="15.75" customHeight="1" x14ac:dyDescent="0.35">
      <c r="B2756" s="20" t="s">
        <v>250</v>
      </c>
      <c r="C2756" s="26">
        <v>0.20138888888888887</v>
      </c>
      <c r="D2756" s="26">
        <v>0.28819444444444448</v>
      </c>
      <c r="E2756" s="26">
        <v>0.37847222222222227</v>
      </c>
      <c r="F2756" s="26">
        <f>E2756+'Lookup Tables'!$N$1</f>
        <v>0.39930555555555558</v>
      </c>
      <c r="G2756" s="26">
        <f>F2756+'Lookup Tables'!$N$1</f>
        <v>0.4201388888888889</v>
      </c>
      <c r="H2756" s="26">
        <f>G2756+'Lookup Tables'!$S$1</f>
        <v>0.43055555555555558</v>
      </c>
      <c r="N2756">
        <f>MAX(F2753:M2753)-O2756</f>
        <v>17</v>
      </c>
      <c r="O2756" t="str">
        <f>RIGHT(E2753,3)</f>
        <v>372</v>
      </c>
    </row>
    <row r="2757" spans="1:16" ht="15.75" customHeight="1" x14ac:dyDescent="0.35">
      <c r="B2757" s="20" t="s">
        <v>251</v>
      </c>
      <c r="C2757" s="27">
        <v>0.2</v>
      </c>
      <c r="D2757" s="27">
        <v>0.5</v>
      </c>
      <c r="E2757" s="27">
        <v>0.5</v>
      </c>
      <c r="F2757" s="27" t="s">
        <v>274</v>
      </c>
      <c r="G2757" s="27"/>
      <c r="H2757" s="25"/>
      <c r="N2757" t="str">
        <f xml:space="preserve">  N2756 &amp; " degrees this time"</f>
        <v>17 degrees this time</v>
      </c>
    </row>
    <row r="2758" spans="1:16" ht="15.75" customHeight="1" x14ac:dyDescent="0.35">
      <c r="B2758" s="20" t="s">
        <v>252</v>
      </c>
      <c r="C2758" s="27">
        <v>0.9</v>
      </c>
      <c r="D2758" s="27">
        <v>0.7</v>
      </c>
      <c r="E2758" s="27">
        <v>0.6</v>
      </c>
      <c r="F2758" s="27" t="s">
        <v>274</v>
      </c>
      <c r="G2758" s="27"/>
      <c r="H2758" s="27" t="s">
        <v>275</v>
      </c>
    </row>
    <row r="2759" spans="1:16" ht="15.75" customHeight="1" x14ac:dyDescent="0.35">
      <c r="B2759" s="20"/>
      <c r="D2759" s="11"/>
      <c r="E2759" s="11"/>
      <c r="F2759" s="11"/>
    </row>
    <row r="2760" spans="1:16" ht="15.75" customHeight="1" x14ac:dyDescent="0.35">
      <c r="B2760" s="20"/>
      <c r="C2760" s="30"/>
      <c r="D2760" s="11"/>
      <c r="E2760" s="11"/>
      <c r="F2760" s="11"/>
      <c r="G2760" s="1" t="s">
        <v>276</v>
      </c>
      <c r="K2760" s="32" t="s">
        <v>424</v>
      </c>
      <c r="L2760" s="9"/>
      <c r="M2760" s="9"/>
    </row>
    <row r="2761" spans="1:16" ht="15.75" customHeight="1" x14ac:dyDescent="0.35">
      <c r="B2761" s="20"/>
      <c r="G2761" s="1"/>
      <c r="H2761" s="1"/>
      <c r="K2761" s="9"/>
      <c r="L2761" s="9"/>
      <c r="M2761" s="9"/>
    </row>
    <row r="2762" spans="1:16" ht="15.75" customHeight="1" x14ac:dyDescent="0.35">
      <c r="B2762" s="20"/>
      <c r="G2762" s="1"/>
      <c r="H2762" s="1"/>
      <c r="K2762" s="32" t="s">
        <v>277</v>
      </c>
      <c r="L2762" s="9"/>
      <c r="M2762" s="9"/>
    </row>
    <row r="2763" spans="1:16" ht="15.75" customHeight="1" x14ac:dyDescent="0.35">
      <c r="B2763" s="9"/>
      <c r="C2763" s="9"/>
      <c r="D2763" s="9"/>
      <c r="E2763" s="9"/>
      <c r="F2763" s="12"/>
      <c r="G2763" s="12"/>
      <c r="H2763" s="12"/>
      <c r="I2763" s="12"/>
      <c r="J2763" s="12"/>
      <c r="K2763" s="12"/>
      <c r="L2763" s="1"/>
    </row>
    <row r="2764" spans="1:16" ht="15.75" customHeight="1" x14ac:dyDescent="0.35">
      <c r="B2764" s="13"/>
      <c r="C2764" s="13"/>
      <c r="D2764" s="15"/>
      <c r="F2764" s="33" t="s">
        <v>305</v>
      </c>
      <c r="G2764" s="16"/>
      <c r="H2764" s="14" t="s">
        <v>255</v>
      </c>
    </row>
    <row r="2765" spans="1:16" x14ac:dyDescent="0.35">
      <c r="B2765" s="13" t="s">
        <v>5</v>
      </c>
      <c r="C2765" s="13" t="s">
        <v>1</v>
      </c>
      <c r="D2765" s="15" t="str">
        <f>VLOOKUP(A2766,Inventory!$A$4:$K$1139,7)</f>
        <v>Leverhead Coffee</v>
      </c>
      <c r="F2765" s="13" t="s">
        <v>235</v>
      </c>
      <c r="G2765" s="16"/>
      <c r="L2765" s="17"/>
      <c r="M2765" s="17"/>
    </row>
    <row r="2766" spans="1:16" x14ac:dyDescent="0.35">
      <c r="A2766">
        <v>159</v>
      </c>
      <c r="B2766" s="5">
        <v>44303</v>
      </c>
      <c r="C2766" s="15" t="str">
        <f>VLOOKUP(A2766,Inventory!$A$4:$K$1139,2)</f>
        <v>Rwanda Abakundakawa 2020</v>
      </c>
      <c r="F2766" s="31" t="s">
        <v>291</v>
      </c>
      <c r="G2766" s="2" t="s">
        <v>270</v>
      </c>
      <c r="L2766" s="17"/>
      <c r="M2766" s="17"/>
      <c r="P2766" s="8"/>
    </row>
    <row r="2767" spans="1:16" x14ac:dyDescent="0.35">
      <c r="L2767" s="19"/>
      <c r="M2767" s="19"/>
    </row>
    <row r="2768" spans="1:16" x14ac:dyDescent="0.35">
      <c r="B2768" s="20"/>
      <c r="C2768" s="11" t="s">
        <v>240</v>
      </c>
      <c r="D2768" s="11" t="s">
        <v>241</v>
      </c>
      <c r="E2768" s="11" t="s">
        <v>319</v>
      </c>
      <c r="F2768" s="11">
        <v>381</v>
      </c>
      <c r="G2768" s="11">
        <v>386</v>
      </c>
      <c r="H2768" s="11">
        <v>393</v>
      </c>
      <c r="I2768" s="11">
        <v>400</v>
      </c>
      <c r="J2768" s="11"/>
      <c r="K2768" s="28"/>
      <c r="L2768" s="28"/>
    </row>
    <row r="2769" spans="1:16" ht="15.75" customHeight="1" x14ac:dyDescent="0.35">
      <c r="A2769" t="s">
        <v>16</v>
      </c>
      <c r="B2769" s="20" t="s">
        <v>242</v>
      </c>
      <c r="C2769" s="30"/>
      <c r="D2769" s="30"/>
      <c r="E2769" s="23" t="s">
        <v>244</v>
      </c>
      <c r="F2769" s="23" t="s">
        <v>245</v>
      </c>
      <c r="G2769" s="23" t="s">
        <v>246</v>
      </c>
      <c r="H2769" s="23" t="s">
        <v>247</v>
      </c>
      <c r="I2769" s="23" t="s">
        <v>259</v>
      </c>
      <c r="J2769" s="23" t="s">
        <v>260</v>
      </c>
      <c r="O2769" s="4"/>
    </row>
    <row r="2770" spans="1:16" ht="1" customHeight="1" x14ac:dyDescent="0.35">
      <c r="B2770" s="24" t="s">
        <v>249</v>
      </c>
      <c r="C2770" s="25"/>
      <c r="D2770" s="25"/>
      <c r="E2770" s="25">
        <v>388</v>
      </c>
      <c r="F2770" s="25">
        <v>393</v>
      </c>
      <c r="G2770" s="25">
        <v>397</v>
      </c>
      <c r="H2770" s="25">
        <v>401</v>
      </c>
      <c r="I2770" s="25"/>
      <c r="K2770" t="s">
        <v>280</v>
      </c>
      <c r="L2770" t="s">
        <v>280</v>
      </c>
      <c r="O2770" t="e">
        <f>(O2768-3*O2767)/O2769</f>
        <v>#DIV/0!</v>
      </c>
    </row>
    <row r="2771" spans="1:16" ht="15.75" customHeight="1" x14ac:dyDescent="0.35">
      <c r="B2771" s="20" t="s">
        <v>250</v>
      </c>
      <c r="C2771" s="26">
        <v>0.20138888888888887</v>
      </c>
      <c r="D2771" s="26">
        <v>0.28125</v>
      </c>
      <c r="E2771" s="26">
        <v>0.38194444444444442</v>
      </c>
      <c r="F2771" s="26">
        <f>E2771+'Lookup Tables'!$N$1</f>
        <v>0.40277777777777773</v>
      </c>
      <c r="G2771" s="26">
        <f>F2771+'Lookup Tables'!$N$1</f>
        <v>0.42361111111111105</v>
      </c>
      <c r="H2771" s="26">
        <f>G2771+'Lookup Tables'!$N$1</f>
        <v>0.44444444444444436</v>
      </c>
      <c r="I2771" s="26">
        <f>H2771+'Lookup Tables'!$N$1</f>
        <v>0.46527777777777768</v>
      </c>
      <c r="J2771" s="26">
        <f>I2771+'Lookup Tables'!$M$1</f>
        <v>0.47569444444444436</v>
      </c>
      <c r="N2771">
        <f>MAX(F2768:M2768)-O2771</f>
        <v>27</v>
      </c>
      <c r="O2771" t="str">
        <f>RIGHT(E2768,3)</f>
        <v>373</v>
      </c>
    </row>
    <row r="2772" spans="1:16" ht="15.75" customHeight="1" x14ac:dyDescent="0.35">
      <c r="B2772" s="20" t="s">
        <v>251</v>
      </c>
      <c r="C2772" s="27">
        <v>0.2</v>
      </c>
      <c r="D2772" s="27">
        <v>0.5</v>
      </c>
      <c r="E2772" s="27"/>
      <c r="F2772" s="27"/>
      <c r="G2772" s="27"/>
      <c r="H2772" s="27" t="s">
        <v>274</v>
      </c>
      <c r="I2772" s="27"/>
      <c r="J2772" s="27"/>
      <c r="N2772" t="str">
        <f xml:space="preserve">  N2771 &amp; " degrees this time"</f>
        <v>27 degrees this time</v>
      </c>
    </row>
    <row r="2773" spans="1:16" ht="15.75" customHeight="1" x14ac:dyDescent="0.35">
      <c r="B2773" s="20" t="s">
        <v>252</v>
      </c>
      <c r="C2773" s="27">
        <v>0.9</v>
      </c>
      <c r="D2773" s="27">
        <v>0.8</v>
      </c>
      <c r="E2773" s="27">
        <v>0.6</v>
      </c>
      <c r="F2773" s="27">
        <v>0.5</v>
      </c>
      <c r="G2773" s="27">
        <v>0.3</v>
      </c>
      <c r="H2773" s="27" t="s">
        <v>274</v>
      </c>
      <c r="I2773" s="27" t="s">
        <v>275</v>
      </c>
      <c r="J2773" s="27" t="s">
        <v>275</v>
      </c>
    </row>
    <row r="2774" spans="1:16" ht="15.75" customHeight="1" x14ac:dyDescent="0.35">
      <c r="B2774" s="20"/>
      <c r="C2774" s="30"/>
      <c r="D2774" s="11"/>
      <c r="E2774" s="11"/>
      <c r="F2774" s="11"/>
      <c r="H2774" s="1"/>
      <c r="J2774" s="35"/>
      <c r="K2774" s="35"/>
    </row>
    <row r="2775" spans="1:16" ht="15.75" customHeight="1" x14ac:dyDescent="0.35">
      <c r="G2775" s="1" t="s">
        <v>418</v>
      </c>
      <c r="K2775" s="32"/>
      <c r="L2775" s="9"/>
      <c r="M2775" s="9"/>
    </row>
    <row r="2776" spans="1:16" ht="15.75" customHeight="1" x14ac:dyDescent="0.35">
      <c r="B2776" s="20"/>
      <c r="G2776" s="1"/>
      <c r="H2776" s="1"/>
      <c r="K2776" s="32"/>
      <c r="L2776" s="9"/>
      <c r="M2776" s="9"/>
    </row>
    <row r="2777" spans="1:16" ht="15.75" customHeight="1" x14ac:dyDescent="0.35">
      <c r="B2777" s="20"/>
      <c r="G2777" s="1"/>
      <c r="H2777" s="1"/>
      <c r="K2777" s="32" t="s">
        <v>254</v>
      </c>
      <c r="L2777" s="9"/>
      <c r="M2777" s="9"/>
    </row>
    <row r="2778" spans="1:16" ht="15.75" customHeight="1" x14ac:dyDescent="0.35">
      <c r="B2778" s="9"/>
      <c r="C2778" s="9"/>
      <c r="D2778" s="9"/>
      <c r="E2778" s="9"/>
      <c r="F2778" s="12"/>
      <c r="G2778" s="12"/>
      <c r="H2778" s="12"/>
      <c r="I2778" s="12"/>
      <c r="J2778" s="12"/>
      <c r="K2778" s="12"/>
      <c r="L2778" s="1"/>
    </row>
    <row r="2779" spans="1:16" ht="15.75" customHeight="1" x14ac:dyDescent="0.35">
      <c r="B2779" s="13"/>
      <c r="C2779" s="13"/>
      <c r="D2779" s="13"/>
      <c r="E2779" s="13"/>
      <c r="F2779" s="33" t="s">
        <v>443</v>
      </c>
      <c r="G2779" s="13"/>
      <c r="I2779" s="14"/>
    </row>
    <row r="2780" spans="1:16" x14ac:dyDescent="0.35">
      <c r="B2780" s="13" t="s">
        <v>5</v>
      </c>
      <c r="C2780" s="13" t="s">
        <v>1</v>
      </c>
      <c r="D2780" s="15" t="str">
        <f>VLOOKUP(A2781,Inventory!$A$4:$K$1139,7)</f>
        <v xml:space="preserve">Klatch                             </v>
      </c>
      <c r="F2780" s="13" t="s">
        <v>235</v>
      </c>
      <c r="G2780" s="16"/>
      <c r="L2780" s="17"/>
      <c r="M2780" s="17"/>
    </row>
    <row r="2781" spans="1:16" x14ac:dyDescent="0.35">
      <c r="A2781">
        <v>162</v>
      </c>
      <c r="B2781" s="5">
        <v>44303</v>
      </c>
      <c r="C2781" s="15" t="str">
        <f>VLOOKUP(A2781,Inventory!$A$4:$K$1139,2)</f>
        <v>El Salvador Las Mercedes Caturra 2020</v>
      </c>
      <c r="F2781" s="34" t="s">
        <v>279</v>
      </c>
      <c r="G2781" s="2" t="s">
        <v>270</v>
      </c>
      <c r="L2781" s="17"/>
      <c r="M2781" s="17"/>
      <c r="P2781" s="8"/>
    </row>
    <row r="2782" spans="1:16" x14ac:dyDescent="0.35">
      <c r="L2782" s="19"/>
      <c r="M2782" s="19"/>
    </row>
    <row r="2783" spans="1:16" x14ac:dyDescent="0.35">
      <c r="B2783" s="20"/>
      <c r="C2783" s="11" t="s">
        <v>240</v>
      </c>
      <c r="D2783" s="11" t="s">
        <v>241</v>
      </c>
      <c r="E2783" s="11" t="s">
        <v>429</v>
      </c>
      <c r="F2783" s="11">
        <v>370</v>
      </c>
      <c r="G2783" s="11">
        <v>378</v>
      </c>
      <c r="H2783" s="11">
        <v>386</v>
      </c>
      <c r="I2783" s="11"/>
      <c r="J2783" s="11"/>
      <c r="K2783" s="28"/>
      <c r="L2783" s="28"/>
    </row>
    <row r="2784" spans="1:16" ht="15.75" customHeight="1" x14ac:dyDescent="0.35">
      <c r="B2784" s="20" t="s">
        <v>242</v>
      </c>
      <c r="C2784" s="21"/>
      <c r="D2784" s="22" t="s">
        <v>294</v>
      </c>
      <c r="E2784" s="23" t="s">
        <v>244</v>
      </c>
      <c r="F2784" s="23" t="s">
        <v>245</v>
      </c>
      <c r="G2784" s="23" t="s">
        <v>246</v>
      </c>
      <c r="H2784" s="23" t="s">
        <v>247</v>
      </c>
      <c r="I2784" s="23" t="s">
        <v>248</v>
      </c>
      <c r="O2784" s="4"/>
    </row>
    <row r="2785" spans="1:16" ht="1" customHeight="1" x14ac:dyDescent="0.35">
      <c r="B2785" s="24" t="s">
        <v>249</v>
      </c>
      <c r="C2785" s="25"/>
      <c r="D2785" s="25"/>
      <c r="E2785" s="25">
        <v>384</v>
      </c>
      <c r="F2785" s="25">
        <v>392</v>
      </c>
      <c r="G2785" s="25">
        <v>395</v>
      </c>
      <c r="H2785" s="25"/>
      <c r="I2785" s="25"/>
      <c r="O2785" t="e">
        <f>(O2783-3*O2782)/O2784</f>
        <v>#DIV/0!</v>
      </c>
    </row>
    <row r="2786" spans="1:16" ht="15.75" customHeight="1" x14ac:dyDescent="0.35">
      <c r="B2786" s="20" t="s">
        <v>250</v>
      </c>
      <c r="C2786" s="26">
        <v>0.21527777777777779</v>
      </c>
      <c r="D2786" s="26">
        <v>0.30208333333333331</v>
      </c>
      <c r="E2786" s="26">
        <v>0.3611111111111111</v>
      </c>
      <c r="F2786" s="26">
        <f>E2786+'Lookup Tables'!$N$1</f>
        <v>0.38194444444444442</v>
      </c>
      <c r="G2786" s="26">
        <f>F2786+'Lookup Tables'!$N$1</f>
        <v>0.40277777777777773</v>
      </c>
      <c r="H2786" s="26">
        <f>G2786+'Lookup Tables'!$N$1</f>
        <v>0.42361111111111105</v>
      </c>
      <c r="I2786" s="26">
        <f>H2786+'Lookup Tables'!$S$1</f>
        <v>0.43402777777777773</v>
      </c>
      <c r="N2786">
        <f>MAX(F2783:M2783)-O2786</f>
        <v>25</v>
      </c>
      <c r="O2786" t="str">
        <f>RIGHT(E2783,3)</f>
        <v>361</v>
      </c>
    </row>
    <row r="2787" spans="1:16" ht="15.75" customHeight="1" x14ac:dyDescent="0.35">
      <c r="B2787" s="20" t="s">
        <v>251</v>
      </c>
      <c r="C2787" s="27">
        <v>0.2</v>
      </c>
      <c r="D2787" s="27">
        <v>0.5</v>
      </c>
      <c r="E2787" s="27"/>
      <c r="F2787" s="27" t="s">
        <v>274</v>
      </c>
      <c r="G2787" s="27"/>
      <c r="H2787" s="27"/>
      <c r="I2787" s="27"/>
      <c r="N2787" t="str">
        <f xml:space="preserve">  N2786 &amp; " degrees this time"</f>
        <v>25 degrees this time</v>
      </c>
    </row>
    <row r="2788" spans="1:16" ht="15.75" customHeight="1" x14ac:dyDescent="0.35">
      <c r="B2788" s="20" t="s">
        <v>252</v>
      </c>
      <c r="C2788" s="27">
        <v>0.9</v>
      </c>
      <c r="D2788" s="27">
        <v>0.8</v>
      </c>
      <c r="E2788" s="27">
        <v>0.5</v>
      </c>
      <c r="F2788" s="27" t="s">
        <v>274</v>
      </c>
      <c r="G2788" s="27"/>
      <c r="H2788" s="27" t="s">
        <v>275</v>
      </c>
      <c r="I2788" s="27" t="s">
        <v>275</v>
      </c>
    </row>
    <row r="2789" spans="1:16" ht="15.75" customHeight="1" x14ac:dyDescent="0.35">
      <c r="B2789" s="20"/>
      <c r="C2789" s="30"/>
      <c r="H2789" s="13"/>
      <c r="I2789" s="13"/>
      <c r="J2789" s="35"/>
    </row>
    <row r="2790" spans="1:16" ht="15.75" customHeight="1" x14ac:dyDescent="0.35">
      <c r="C2790" s="30"/>
      <c r="G2790" s="1" t="s">
        <v>344</v>
      </c>
      <c r="K2790" s="32" t="s">
        <v>345</v>
      </c>
      <c r="L2790" s="9"/>
      <c r="M2790" s="9"/>
    </row>
    <row r="2791" spans="1:16" ht="15.75" customHeight="1" x14ac:dyDescent="0.35">
      <c r="B2791" s="20"/>
      <c r="G2791" s="1"/>
      <c r="H2791" s="1"/>
      <c r="K2791" s="32"/>
      <c r="L2791" s="9"/>
      <c r="M2791" s="9"/>
    </row>
    <row r="2792" spans="1:16" ht="15.75" customHeight="1" x14ac:dyDescent="0.35">
      <c r="B2792" s="20"/>
      <c r="G2792" s="1"/>
      <c r="H2792" s="1"/>
      <c r="K2792" s="32" t="s">
        <v>277</v>
      </c>
      <c r="L2792" s="9"/>
      <c r="M2792" s="9"/>
    </row>
    <row r="2793" spans="1:16" ht="15.75" customHeight="1" x14ac:dyDescent="0.35">
      <c r="B2793" s="9"/>
      <c r="C2793" s="9"/>
      <c r="D2793" s="9"/>
      <c r="E2793" s="9"/>
      <c r="F2793" s="12"/>
      <c r="G2793" s="12"/>
      <c r="H2793" s="12"/>
      <c r="I2793" s="12"/>
      <c r="J2793" s="12"/>
      <c r="K2793" s="12"/>
      <c r="L2793" s="1"/>
    </row>
    <row r="2794" spans="1:16" ht="15.75" customHeight="1" x14ac:dyDescent="0.35">
      <c r="B2794" s="13"/>
      <c r="C2794" s="13"/>
      <c r="D2794" s="13"/>
      <c r="E2794" s="13"/>
      <c r="F2794" s="13"/>
      <c r="G2794" s="13"/>
      <c r="H2794" s="14"/>
      <c r="I2794" s="13"/>
    </row>
    <row r="2795" spans="1:16" x14ac:dyDescent="0.35">
      <c r="B2795" s="13" t="s">
        <v>5</v>
      </c>
      <c r="C2795" s="13" t="s">
        <v>1</v>
      </c>
      <c r="D2795" s="15" t="str">
        <f>VLOOKUP(A2796,Inventory!$A$4:$K$1139,7)</f>
        <v xml:space="preserve">GCBC                               </v>
      </c>
      <c r="F2795" s="13" t="s">
        <v>235</v>
      </c>
      <c r="G2795" s="16"/>
      <c r="J2795" s="8"/>
      <c r="K2795" s="17"/>
      <c r="L2795" s="17"/>
      <c r="M2795" s="17"/>
    </row>
    <row r="2796" spans="1:16" x14ac:dyDescent="0.35">
      <c r="A2796">
        <v>148</v>
      </c>
      <c r="B2796" s="5">
        <v>44296</v>
      </c>
      <c r="C2796" s="15" t="str">
        <f>VLOOKUP(A2796,Inventory!$A$4:$K$1139,2)</f>
        <v>Costa Rica - La Pastora Tarrazu 2018</v>
      </c>
      <c r="F2796" s="34" t="s">
        <v>279</v>
      </c>
      <c r="G2796" s="2" t="s">
        <v>270</v>
      </c>
      <c r="K2796" s="17"/>
      <c r="L2796" s="17"/>
      <c r="M2796" s="17"/>
      <c r="P2796" s="8"/>
    </row>
    <row r="2797" spans="1:16" x14ac:dyDescent="0.35">
      <c r="G2797" s="16"/>
      <c r="J2797" s="19"/>
      <c r="K2797" s="19"/>
      <c r="L2797" s="19"/>
      <c r="M2797" s="19"/>
    </row>
    <row r="2798" spans="1:16" x14ac:dyDescent="0.35">
      <c r="B2798" s="20"/>
      <c r="C2798" s="11" t="s">
        <v>240</v>
      </c>
      <c r="D2798" s="11" t="s">
        <v>272</v>
      </c>
      <c r="E2798" s="11" t="s">
        <v>430</v>
      </c>
      <c r="F2798" s="11">
        <v>377</v>
      </c>
      <c r="G2798" s="11">
        <v>385</v>
      </c>
      <c r="H2798" s="11">
        <v>395</v>
      </c>
      <c r="I2798" s="11" t="s">
        <v>356</v>
      </c>
      <c r="J2798" s="11"/>
      <c r="K2798" s="11"/>
      <c r="L2798" s="28"/>
    </row>
    <row r="2799" spans="1:16" ht="15.75" customHeight="1" x14ac:dyDescent="0.35">
      <c r="B2799" s="20" t="s">
        <v>242</v>
      </c>
      <c r="C2799" s="30"/>
      <c r="D2799" s="30"/>
      <c r="E2799" s="23" t="s">
        <v>244</v>
      </c>
      <c r="F2799" s="23" t="s">
        <v>245</v>
      </c>
      <c r="G2799" s="23" t="s">
        <v>246</v>
      </c>
      <c r="H2799" s="23" t="s">
        <v>247</v>
      </c>
      <c r="I2799" s="23" t="s">
        <v>248</v>
      </c>
      <c r="O2799" s="4"/>
    </row>
    <row r="2800" spans="1:16" ht="1" customHeight="1" x14ac:dyDescent="0.35">
      <c r="B2800" s="24" t="s">
        <v>249</v>
      </c>
      <c r="C2800" s="25"/>
      <c r="D2800" s="25"/>
      <c r="E2800" s="25"/>
      <c r="F2800" s="25"/>
      <c r="G2800" s="25"/>
      <c r="H2800" s="25"/>
      <c r="I2800" s="25"/>
      <c r="O2800" t="e">
        <f>(O2798-3*O2797)/O2799</f>
        <v>#DIV/0!</v>
      </c>
    </row>
    <row r="2801" spans="1:16" ht="15.75" customHeight="1" x14ac:dyDescent="0.35">
      <c r="B2801" s="20" t="s">
        <v>250</v>
      </c>
      <c r="C2801" s="26">
        <v>0.21180555555555555</v>
      </c>
      <c r="D2801" s="26">
        <v>0.2951388888888889</v>
      </c>
      <c r="E2801" s="26">
        <v>0.36805555555555558</v>
      </c>
      <c r="F2801" s="26">
        <f>E2801+'Lookup Tables'!$N$1</f>
        <v>0.3888888888888889</v>
      </c>
      <c r="G2801" s="26">
        <f>F2801+'Lookup Tables'!$N$1</f>
        <v>0.40972222222222221</v>
      </c>
      <c r="H2801" s="26">
        <f>G2801+'Lookup Tables'!$N$1</f>
        <v>0.43055555555555552</v>
      </c>
      <c r="I2801" s="26">
        <f>H2801+'Lookup Tables'!$S$1</f>
        <v>0.44097222222222221</v>
      </c>
      <c r="N2801">
        <f>MAX(F2798:M2798)-O2801</f>
        <v>27</v>
      </c>
      <c r="O2801" t="str">
        <f>RIGHT(E2798,3)</f>
        <v>368</v>
      </c>
    </row>
    <row r="2802" spans="1:16" ht="15.75" customHeight="1" x14ac:dyDescent="0.35">
      <c r="B2802" s="20" t="s">
        <v>251</v>
      </c>
      <c r="C2802" s="27">
        <v>0.2</v>
      </c>
      <c r="D2802" s="27">
        <v>0.5</v>
      </c>
      <c r="E2802" s="25"/>
      <c r="F2802" s="27"/>
      <c r="G2802" s="27"/>
      <c r="H2802" s="25" t="s">
        <v>274</v>
      </c>
      <c r="I2802" s="27"/>
      <c r="N2802" t="str">
        <f xml:space="preserve">  N2801 &amp; " degrees this time"</f>
        <v>27 degrees this time</v>
      </c>
    </row>
    <row r="2803" spans="1:16" ht="15.75" customHeight="1" x14ac:dyDescent="0.35">
      <c r="B2803" s="20" t="s">
        <v>252</v>
      </c>
      <c r="C2803" s="27">
        <v>0.9</v>
      </c>
      <c r="D2803" s="27">
        <v>0.8</v>
      </c>
      <c r="E2803" s="27">
        <v>0.6</v>
      </c>
      <c r="F2803" s="27"/>
      <c r="G2803" s="27"/>
      <c r="H2803" s="25" t="s">
        <v>274</v>
      </c>
      <c r="I2803" s="27" t="s">
        <v>275</v>
      </c>
    </row>
    <row r="2804" spans="1:16" ht="15.75" customHeight="1" x14ac:dyDescent="0.35">
      <c r="B2804" s="20"/>
      <c r="C2804" s="30"/>
      <c r="D2804" s="11"/>
      <c r="E2804" s="11"/>
      <c r="F2804" s="11"/>
      <c r="G2804" s="1"/>
      <c r="H2804" s="1"/>
      <c r="I2804" s="1"/>
    </row>
    <row r="2805" spans="1:16" ht="15.75" customHeight="1" x14ac:dyDescent="0.35">
      <c r="B2805" s="20"/>
      <c r="C2805" s="30"/>
      <c r="D2805" s="11"/>
      <c r="E2805" s="11"/>
      <c r="F2805" s="11"/>
      <c r="G2805" s="1" t="s">
        <v>445</v>
      </c>
      <c r="K2805" s="32" t="s">
        <v>446</v>
      </c>
      <c r="L2805" s="9"/>
      <c r="M2805" s="9"/>
    </row>
    <row r="2806" spans="1:16" ht="15.75" customHeight="1" x14ac:dyDescent="0.35">
      <c r="B2806" s="20"/>
      <c r="G2806" s="1"/>
      <c r="H2806" s="1"/>
      <c r="K2806" s="32"/>
      <c r="L2806" s="9"/>
      <c r="M2806" s="9"/>
    </row>
    <row r="2807" spans="1:16" ht="15.75" customHeight="1" x14ac:dyDescent="0.35">
      <c r="B2807" s="20"/>
      <c r="G2807" s="1"/>
      <c r="H2807" s="1"/>
      <c r="K2807" s="9" t="s">
        <v>254</v>
      </c>
      <c r="L2807" s="9"/>
      <c r="M2807" s="9"/>
    </row>
    <row r="2808" spans="1:16" ht="15.75" customHeight="1" x14ac:dyDescent="0.35">
      <c r="B2808" s="9"/>
      <c r="C2808" s="9"/>
      <c r="D2808" s="9"/>
      <c r="E2808" s="9"/>
      <c r="F2808" s="12"/>
      <c r="G2808" s="12"/>
      <c r="H2808" s="12"/>
      <c r="I2808" s="12"/>
      <c r="J2808" s="12"/>
      <c r="K2808" s="12"/>
      <c r="L2808" s="1"/>
    </row>
    <row r="2809" spans="1:16" ht="15.75" customHeight="1" x14ac:dyDescent="0.35">
      <c r="B2809" s="13"/>
      <c r="C2809" s="13"/>
      <c r="D2809" s="15"/>
      <c r="G2809" s="16"/>
      <c r="I2809" s="14"/>
    </row>
    <row r="2810" spans="1:16" x14ac:dyDescent="0.35">
      <c r="B2810" s="13" t="s">
        <v>5</v>
      </c>
      <c r="C2810" s="13" t="s">
        <v>1</v>
      </c>
      <c r="D2810" s="15" t="str">
        <f>VLOOKUP(A2811,Inventory!$A$4:$K$1139,7)</f>
        <v>Coffee Bean corral</v>
      </c>
      <c r="F2810" s="13" t="s">
        <v>235</v>
      </c>
      <c r="G2810" s="16"/>
      <c r="L2810" s="17"/>
      <c r="M2810" s="17"/>
    </row>
    <row r="2811" spans="1:16" x14ac:dyDescent="0.35">
      <c r="A2811">
        <v>151</v>
      </c>
      <c r="B2811" s="5">
        <v>44296</v>
      </c>
      <c r="C2811" s="15" t="str">
        <f>VLOOKUP(A2811,Inventory!$A$4:$K$1139,2)</f>
        <v>Yemen Mocca Ismaili Natural 2018</v>
      </c>
      <c r="F2811" s="34" t="s">
        <v>279</v>
      </c>
      <c r="G2811" s="2" t="s">
        <v>286</v>
      </c>
      <c r="L2811" s="17"/>
      <c r="M2811" s="17"/>
      <c r="P2811" s="8"/>
    </row>
    <row r="2812" spans="1:16" x14ac:dyDescent="0.35">
      <c r="B2812" t="s">
        <v>16</v>
      </c>
      <c r="G2812" s="16"/>
      <c r="L2812" s="19"/>
      <c r="M2812" s="19"/>
    </row>
    <row r="2813" spans="1:16" x14ac:dyDescent="0.35">
      <c r="B2813" s="20"/>
      <c r="C2813" s="11" t="s">
        <v>240</v>
      </c>
      <c r="D2813" s="11" t="s">
        <v>272</v>
      </c>
      <c r="E2813" s="11" t="s">
        <v>447</v>
      </c>
      <c r="F2813" s="11">
        <v>383</v>
      </c>
      <c r="G2813" s="11">
        <v>393</v>
      </c>
      <c r="H2813" s="11" t="s">
        <v>455</v>
      </c>
      <c r="I2813" s="11"/>
      <c r="J2813" s="11"/>
      <c r="K2813" s="11"/>
      <c r="L2813" s="28"/>
    </row>
    <row r="2814" spans="1:16" ht="15.75" customHeight="1" x14ac:dyDescent="0.35">
      <c r="B2814" s="20" t="s">
        <v>242</v>
      </c>
      <c r="C2814" s="21"/>
      <c r="D2814" s="22" t="s">
        <v>294</v>
      </c>
      <c r="E2814" s="23" t="s">
        <v>244</v>
      </c>
      <c r="F2814" s="23" t="s">
        <v>245</v>
      </c>
      <c r="G2814" s="23" t="s">
        <v>246</v>
      </c>
      <c r="H2814" s="23" t="s">
        <v>273</v>
      </c>
      <c r="O2814" s="4"/>
    </row>
    <row r="2815" spans="1:16" ht="1" customHeight="1" x14ac:dyDescent="0.35">
      <c r="B2815" s="24" t="s">
        <v>249</v>
      </c>
      <c r="C2815" s="25">
        <v>320</v>
      </c>
      <c r="D2815" s="25">
        <v>350</v>
      </c>
      <c r="E2815" s="25"/>
      <c r="F2815" s="25"/>
      <c r="G2815" s="25"/>
      <c r="H2815" s="23" t="s">
        <v>247</v>
      </c>
      <c r="O2815" t="e">
        <f>(O2813-3*O2812)/O2814</f>
        <v>#DIV/0!</v>
      </c>
    </row>
    <row r="2816" spans="1:16" ht="15.75" customHeight="1" x14ac:dyDescent="0.35">
      <c r="B2816" s="20" t="s">
        <v>250</v>
      </c>
      <c r="C2816" s="26">
        <v>0.21180555555555555</v>
      </c>
      <c r="D2816" s="26">
        <v>0.2986111111111111</v>
      </c>
      <c r="E2816" s="26">
        <v>0.37847222222222227</v>
      </c>
      <c r="F2816" s="26">
        <f>E2816+'Lookup Tables'!$N$1</f>
        <v>0.39930555555555558</v>
      </c>
      <c r="G2816" s="26">
        <f>F2816+'Lookup Tables'!$N$1</f>
        <v>0.4201388888888889</v>
      </c>
      <c r="H2816" s="26">
        <f>G2816+'Lookup Tables'!$S$1</f>
        <v>0.43055555555555558</v>
      </c>
      <c r="I2816" s="11"/>
      <c r="J2816" s="11"/>
      <c r="K2816" s="11"/>
      <c r="N2816">
        <f>MAX(F2813:M2813)-O2816</f>
        <v>19</v>
      </c>
      <c r="O2816" t="str">
        <f>RIGHT(E2813,3)</f>
        <v>374</v>
      </c>
    </row>
    <row r="2817" spans="1:16" ht="15.75" customHeight="1" x14ac:dyDescent="0.35">
      <c r="B2817" s="20" t="s">
        <v>251</v>
      </c>
      <c r="C2817" s="27">
        <v>0.2</v>
      </c>
      <c r="D2817" s="27">
        <v>0.5</v>
      </c>
      <c r="E2817" s="27"/>
      <c r="F2817" s="27"/>
      <c r="G2817" s="27">
        <v>0.25</v>
      </c>
      <c r="H2817" s="27"/>
      <c r="N2817" t="str">
        <f xml:space="preserve">  N2816 &amp; " degrees this time"</f>
        <v>19 degrees this time</v>
      </c>
    </row>
    <row r="2818" spans="1:16" ht="15.75" customHeight="1" x14ac:dyDescent="0.35">
      <c r="B2818" s="20" t="s">
        <v>252</v>
      </c>
      <c r="C2818" s="27">
        <v>0.9</v>
      </c>
      <c r="D2818" s="27">
        <v>0.7</v>
      </c>
      <c r="E2818" s="27">
        <v>0.4</v>
      </c>
      <c r="F2818" s="27"/>
      <c r="G2818" s="27"/>
      <c r="H2818" s="27" t="s">
        <v>275</v>
      </c>
    </row>
    <row r="2819" spans="1:16" ht="15.75" customHeight="1" x14ac:dyDescent="0.35">
      <c r="B2819" s="20"/>
      <c r="D2819" s="11"/>
      <c r="E2819" s="40"/>
      <c r="F2819" s="11"/>
      <c r="G2819" s="11"/>
      <c r="K2819" s="32" t="s">
        <v>402</v>
      </c>
      <c r="L2819" s="9"/>
      <c r="M2819" s="9"/>
    </row>
    <row r="2820" spans="1:16" ht="15.75" customHeight="1" x14ac:dyDescent="0.35">
      <c r="B2820" s="38"/>
      <c r="D2820" s="15"/>
      <c r="F2820" s="13"/>
      <c r="G2820" s="1" t="s">
        <v>403</v>
      </c>
      <c r="K2820" s="32"/>
      <c r="L2820" s="9"/>
      <c r="M2820" s="9"/>
    </row>
    <row r="2821" spans="1:16" ht="15.75" customHeight="1" x14ac:dyDescent="0.35">
      <c r="B2821" s="20"/>
      <c r="G2821" s="1"/>
      <c r="H2821" s="1"/>
      <c r="K2821" s="9"/>
      <c r="L2821" s="9"/>
      <c r="M2821" s="9"/>
    </row>
    <row r="2822" spans="1:16" ht="15.75" customHeight="1" x14ac:dyDescent="0.35">
      <c r="B2822" s="20"/>
      <c r="G2822" s="1"/>
      <c r="H2822" s="1"/>
      <c r="K2822" s="9" t="s">
        <v>297</v>
      </c>
      <c r="L2822" s="9"/>
      <c r="M2822" s="9"/>
    </row>
    <row r="2823" spans="1:16" ht="15.75" customHeight="1" x14ac:dyDescent="0.35">
      <c r="B2823" s="9"/>
      <c r="C2823" s="9"/>
      <c r="D2823" s="9"/>
      <c r="E2823" s="9"/>
      <c r="F2823" s="12"/>
      <c r="G2823" s="12"/>
      <c r="H2823" s="12"/>
      <c r="I2823" s="12"/>
      <c r="J2823" s="12"/>
      <c r="K2823" s="12"/>
      <c r="L2823" s="1"/>
    </row>
    <row r="2824" spans="1:16" ht="15.75" customHeight="1" x14ac:dyDescent="0.35">
      <c r="B2824" s="13"/>
      <c r="C2824" s="13"/>
      <c r="D2824" s="15"/>
      <c r="G2824" s="16"/>
      <c r="H2824" s="14" t="s">
        <v>255</v>
      </c>
      <c r="I2824" s="14"/>
    </row>
    <row r="2825" spans="1:16" x14ac:dyDescent="0.35">
      <c r="B2825" s="13" t="s">
        <v>5</v>
      </c>
      <c r="C2825" s="13" t="s">
        <v>1</v>
      </c>
      <c r="D2825" s="15" t="str">
        <f>VLOOKUP(A2826,Inventory!$A$4:$K$1139,7)</f>
        <v xml:space="preserve">Sweet Marias                       </v>
      </c>
      <c r="F2825" s="13" t="s">
        <v>235</v>
      </c>
      <c r="G2825" s="16"/>
      <c r="L2825" s="17"/>
      <c r="M2825" s="17"/>
    </row>
    <row r="2826" spans="1:16" x14ac:dyDescent="0.35">
      <c r="A2826">
        <v>153</v>
      </c>
      <c r="B2826" s="5">
        <v>44296</v>
      </c>
      <c r="C2826" s="15" t="str">
        <f>VLOOKUP(A2826,Inventory!$A$4:$K$1139,2)</f>
        <v>Yemen Mokha Matari 2019</v>
      </c>
      <c r="F2826" s="31" t="s">
        <v>291</v>
      </c>
      <c r="G2826" s="2" t="s">
        <v>286</v>
      </c>
      <c r="L2826" s="17"/>
      <c r="M2826" s="17"/>
      <c r="P2826" s="8"/>
    </row>
    <row r="2827" spans="1:16" x14ac:dyDescent="0.35">
      <c r="B2827" t="s">
        <v>16</v>
      </c>
      <c r="G2827" s="16"/>
      <c r="L2827" s="19"/>
      <c r="M2827" s="19"/>
    </row>
    <row r="2828" spans="1:16" x14ac:dyDescent="0.35">
      <c r="B2828" s="20"/>
      <c r="C2828" s="11" t="s">
        <v>240</v>
      </c>
      <c r="D2828" s="11" t="s">
        <v>272</v>
      </c>
      <c r="E2828" s="11" t="s">
        <v>452</v>
      </c>
      <c r="F2828" s="11">
        <v>389</v>
      </c>
      <c r="G2828" s="11">
        <v>397</v>
      </c>
      <c r="H2828" s="11">
        <v>400</v>
      </c>
      <c r="I2828" s="11">
        <v>403</v>
      </c>
      <c r="J2828" s="11"/>
      <c r="K2828" s="11"/>
      <c r="L2828" s="28"/>
    </row>
    <row r="2829" spans="1:16" ht="15.75" customHeight="1" x14ac:dyDescent="0.35">
      <c r="B2829" s="20" t="s">
        <v>242</v>
      </c>
      <c r="C2829" s="21"/>
      <c r="D2829" s="22" t="s">
        <v>294</v>
      </c>
      <c r="E2829" s="23" t="s">
        <v>244</v>
      </c>
      <c r="F2829" s="23" t="s">
        <v>245</v>
      </c>
      <c r="G2829" s="23" t="s">
        <v>246</v>
      </c>
      <c r="H2829" s="23" t="s">
        <v>273</v>
      </c>
      <c r="I2829" s="23" t="s">
        <v>247</v>
      </c>
      <c r="O2829" s="4"/>
    </row>
    <row r="2830" spans="1:16" ht="1" customHeight="1" x14ac:dyDescent="0.35">
      <c r="B2830" s="24" t="s">
        <v>249</v>
      </c>
      <c r="C2830" s="25">
        <v>320</v>
      </c>
      <c r="D2830" s="25">
        <v>350</v>
      </c>
      <c r="E2830" s="25"/>
      <c r="F2830" s="25"/>
      <c r="G2830" s="25"/>
      <c r="H2830" s="23" t="s">
        <v>247</v>
      </c>
      <c r="I2830" s="25"/>
      <c r="O2830" t="e">
        <f>(O2828-3*O2827)/O2829</f>
        <v>#DIV/0!</v>
      </c>
    </row>
    <row r="2831" spans="1:16" ht="15.75" customHeight="1" x14ac:dyDescent="0.35">
      <c r="B2831" s="20" t="s">
        <v>250</v>
      </c>
      <c r="C2831" s="26">
        <v>0.18055555555555555</v>
      </c>
      <c r="D2831" s="26">
        <v>0.2673611111111111</v>
      </c>
      <c r="E2831" s="26">
        <v>0.375</v>
      </c>
      <c r="F2831" s="26">
        <f>E2831+'Lookup Tables'!$N$1</f>
        <v>0.39583333333333331</v>
      </c>
      <c r="G2831" s="26">
        <f>F2831+'Lookup Tables'!$N$1</f>
        <v>0.41666666666666663</v>
      </c>
      <c r="H2831" s="26">
        <f>G2831+'Lookup Tables'!$S$1</f>
        <v>0.42708333333333331</v>
      </c>
      <c r="I2831" s="26">
        <f>H2831+'Lookup Tables'!$S$1</f>
        <v>0.4375</v>
      </c>
      <c r="J2831" s="11"/>
      <c r="K2831" s="11"/>
      <c r="N2831">
        <f>MAX(F2828:M2828)-O2831</f>
        <v>22</v>
      </c>
      <c r="O2831" t="str">
        <f>RIGHT(E2828,3)</f>
        <v>381</v>
      </c>
    </row>
    <row r="2832" spans="1:16" ht="15.75" customHeight="1" x14ac:dyDescent="0.35">
      <c r="B2832" s="20" t="s">
        <v>251</v>
      </c>
      <c r="C2832" s="27">
        <v>0.2</v>
      </c>
      <c r="D2832" s="27">
        <v>0.5</v>
      </c>
      <c r="E2832" s="27"/>
      <c r="F2832" s="27"/>
      <c r="G2832" s="27">
        <v>0.25</v>
      </c>
      <c r="H2832" s="27"/>
      <c r="I2832" s="27"/>
      <c r="N2832" t="str">
        <f xml:space="preserve">  N2831 &amp; " degrees this time"</f>
        <v>22 degrees this time</v>
      </c>
    </row>
    <row r="2833" spans="1:16" ht="15.75" customHeight="1" x14ac:dyDescent="0.35">
      <c r="B2833" s="20" t="s">
        <v>252</v>
      </c>
      <c r="C2833" s="27">
        <v>0.9</v>
      </c>
      <c r="D2833" s="27">
        <v>0.7</v>
      </c>
      <c r="E2833" s="27">
        <v>0.7</v>
      </c>
      <c r="F2833" s="27">
        <v>0.5</v>
      </c>
      <c r="G2833" s="27"/>
      <c r="H2833" s="27"/>
      <c r="I2833" s="27" t="s">
        <v>275</v>
      </c>
    </row>
    <row r="2834" spans="1:16" ht="15.75" customHeight="1" x14ac:dyDescent="0.35">
      <c r="B2834" s="20"/>
      <c r="D2834" s="11"/>
      <c r="E2834" s="40"/>
      <c r="F2834" s="11"/>
      <c r="G2834" s="11"/>
      <c r="K2834" s="32" t="s">
        <v>314</v>
      </c>
      <c r="L2834" s="9"/>
      <c r="M2834" s="9"/>
    </row>
    <row r="2835" spans="1:16" ht="15.75" customHeight="1" x14ac:dyDescent="0.35">
      <c r="B2835" s="38"/>
      <c r="D2835" s="15"/>
      <c r="F2835" s="13"/>
      <c r="G2835" s="1" t="s">
        <v>296</v>
      </c>
      <c r="K2835" s="32"/>
      <c r="L2835" s="9"/>
      <c r="M2835" s="9"/>
    </row>
    <row r="2836" spans="1:16" ht="15.75" customHeight="1" x14ac:dyDescent="0.35">
      <c r="B2836" s="20"/>
      <c r="G2836" s="1"/>
      <c r="H2836" s="1"/>
      <c r="K2836" s="9"/>
      <c r="L2836" s="9"/>
      <c r="M2836" s="9"/>
    </row>
    <row r="2837" spans="1:16" ht="15.75" customHeight="1" x14ac:dyDescent="0.35">
      <c r="B2837" s="20"/>
      <c r="G2837" s="1"/>
      <c r="H2837" s="1"/>
      <c r="K2837" s="9" t="s">
        <v>297</v>
      </c>
      <c r="L2837" s="9"/>
      <c r="M2837" s="9"/>
    </row>
    <row r="2838" spans="1:16" ht="15.75" customHeight="1" x14ac:dyDescent="0.35">
      <c r="B2838" s="9"/>
      <c r="C2838" s="9"/>
      <c r="D2838" s="9"/>
      <c r="E2838" s="9"/>
      <c r="F2838" s="12"/>
      <c r="G2838" s="12"/>
      <c r="H2838" s="12"/>
      <c r="I2838" s="12"/>
      <c r="J2838" s="12"/>
      <c r="K2838" s="12"/>
      <c r="L2838" s="1"/>
    </row>
    <row r="2839" spans="1:16" ht="15.75" customHeight="1" x14ac:dyDescent="0.35">
      <c r="B2839" s="13"/>
      <c r="C2839" s="13"/>
      <c r="D2839" s="15"/>
      <c r="F2839" s="33" t="s">
        <v>305</v>
      </c>
      <c r="H2839" s="14" t="s">
        <v>255</v>
      </c>
    </row>
    <row r="2840" spans="1:16" x14ac:dyDescent="0.35">
      <c r="B2840" s="13" t="s">
        <v>5</v>
      </c>
      <c r="C2840" s="13" t="s">
        <v>1</v>
      </c>
      <c r="D2840" s="15" t="str">
        <f>VLOOKUP(A2841,Inventory!$A$4:$K$1139,7)</f>
        <v>Burman Coffee</v>
      </c>
      <c r="F2840" s="13" t="s">
        <v>235</v>
      </c>
      <c r="G2840" s="16"/>
      <c r="L2840" s="17"/>
      <c r="M2840" s="17"/>
    </row>
    <row r="2841" spans="1:16" x14ac:dyDescent="0.35">
      <c r="A2841">
        <v>165</v>
      </c>
      <c r="B2841" s="5">
        <v>44296</v>
      </c>
      <c r="C2841" s="15" t="str">
        <f>VLOOKUP(A2841,Inventory!$A$4:$K$1139,2)</f>
        <v>Ethiopian Guji Natural - Shakiso 2020</v>
      </c>
      <c r="F2841" s="31" t="s">
        <v>291</v>
      </c>
      <c r="G2841" s="2" t="s">
        <v>286</v>
      </c>
      <c r="L2841" s="17"/>
      <c r="M2841" s="17"/>
      <c r="P2841" s="8"/>
    </row>
    <row r="2842" spans="1:16" x14ac:dyDescent="0.35">
      <c r="F2842" s="11"/>
      <c r="G2842" s="11"/>
      <c r="H2842" s="11"/>
      <c r="I2842" s="11"/>
      <c r="J2842" s="11"/>
      <c r="K2842" s="11"/>
      <c r="L2842" s="28"/>
      <c r="M2842" s="36"/>
    </row>
    <row r="2843" spans="1:16" x14ac:dyDescent="0.35">
      <c r="B2843" s="20"/>
      <c r="C2843" s="11" t="s">
        <v>240</v>
      </c>
      <c r="D2843" s="11" t="s">
        <v>272</v>
      </c>
      <c r="E2843" s="11" t="s">
        <v>319</v>
      </c>
      <c r="F2843" s="11">
        <v>382</v>
      </c>
      <c r="G2843" s="11">
        <v>391</v>
      </c>
      <c r="H2843" s="11">
        <v>401</v>
      </c>
      <c r="I2843" s="11" t="s">
        <v>356</v>
      </c>
      <c r="J2843" s="11"/>
      <c r="K2843" s="11"/>
      <c r="L2843" s="28"/>
    </row>
    <row r="2844" spans="1:16" ht="15.75" customHeight="1" x14ac:dyDescent="0.35">
      <c r="B2844" s="20" t="s">
        <v>242</v>
      </c>
      <c r="C2844" s="30"/>
      <c r="D2844" s="30"/>
      <c r="E2844" s="23" t="s">
        <v>244</v>
      </c>
      <c r="F2844" s="23" t="s">
        <v>245</v>
      </c>
      <c r="G2844" s="23" t="s">
        <v>246</v>
      </c>
      <c r="H2844" s="23" t="s">
        <v>247</v>
      </c>
      <c r="I2844" s="23" t="s">
        <v>248</v>
      </c>
      <c r="O2844" s="4"/>
    </row>
    <row r="2845" spans="1:16" ht="1" customHeight="1" x14ac:dyDescent="0.35">
      <c r="B2845" s="24" t="s">
        <v>249</v>
      </c>
      <c r="C2845" s="25"/>
      <c r="D2845" s="25"/>
      <c r="E2845" s="25"/>
      <c r="F2845" s="25"/>
      <c r="G2845" s="25"/>
      <c r="H2845" s="25"/>
      <c r="I2845" s="25"/>
      <c r="O2845" t="e">
        <f>(O2843-3*O2842)/O2844</f>
        <v>#DIV/0!</v>
      </c>
    </row>
    <row r="2846" spans="1:16" ht="15.75" customHeight="1" x14ac:dyDescent="0.35">
      <c r="B2846" s="20" t="s">
        <v>250</v>
      </c>
      <c r="C2846" s="26">
        <v>0.1875</v>
      </c>
      <c r="D2846" s="26">
        <v>0.27083333333333331</v>
      </c>
      <c r="E2846" s="26">
        <v>0.3576388888888889</v>
      </c>
      <c r="F2846" s="26">
        <f>E2846+'Lookup Tables'!$N$1</f>
        <v>0.37847222222222221</v>
      </c>
      <c r="G2846" s="26">
        <f>F2846+'Lookup Tables'!$N$1</f>
        <v>0.39930555555555552</v>
      </c>
      <c r="H2846" s="26">
        <f>G2846+'Lookup Tables'!$N$1</f>
        <v>0.42013888888888884</v>
      </c>
      <c r="I2846" s="26">
        <f>H2846+'Lookup Tables'!$S$1</f>
        <v>0.43055555555555552</v>
      </c>
      <c r="N2846">
        <f>MAX(F2843:M2843)-O2846</f>
        <v>28</v>
      </c>
      <c r="O2846" t="str">
        <f>RIGHT(E2843,3)</f>
        <v>373</v>
      </c>
    </row>
    <row r="2847" spans="1:16" ht="15.75" customHeight="1" x14ac:dyDescent="0.35">
      <c r="B2847" s="20" t="s">
        <v>251</v>
      </c>
      <c r="C2847" s="27">
        <v>0.2</v>
      </c>
      <c r="D2847" s="27">
        <v>0.5</v>
      </c>
      <c r="E2847" s="27"/>
      <c r="F2847" s="27"/>
      <c r="G2847" s="27"/>
      <c r="H2847" s="25"/>
      <c r="I2847" s="25"/>
      <c r="N2847" t="str">
        <f xml:space="preserve">  N2846 &amp; " degrees this time"</f>
        <v>28 degrees this time</v>
      </c>
    </row>
    <row r="2848" spans="1:16" ht="15.75" customHeight="1" x14ac:dyDescent="0.35">
      <c r="B2848" s="20" t="s">
        <v>252</v>
      </c>
      <c r="C2848" s="27">
        <v>0.9</v>
      </c>
      <c r="D2848" s="27">
        <v>0.9</v>
      </c>
      <c r="E2848" s="27">
        <v>0.8</v>
      </c>
      <c r="F2848" s="27">
        <v>0.5</v>
      </c>
      <c r="G2848" s="27"/>
      <c r="H2848" s="27"/>
      <c r="I2848" s="27" t="s">
        <v>275</v>
      </c>
    </row>
    <row r="2849" spans="1:16" ht="15.75" customHeight="1" x14ac:dyDescent="0.35">
      <c r="B2849" s="20"/>
      <c r="C2849" s="30"/>
      <c r="D2849" s="11"/>
      <c r="E2849" s="1"/>
      <c r="F2849" s="11"/>
      <c r="G2849" s="11"/>
      <c r="H2849" s="11"/>
      <c r="J2849" s="37"/>
      <c r="K2849" s="32"/>
      <c r="L2849" s="9"/>
      <c r="M2849" s="9"/>
    </row>
    <row r="2850" spans="1:16" ht="15.75" customHeight="1" x14ac:dyDescent="0.35">
      <c r="B2850" s="38"/>
      <c r="D2850" s="11"/>
      <c r="E2850" s="11"/>
      <c r="F2850" s="11"/>
      <c r="G2850" s="1" t="s">
        <v>404</v>
      </c>
      <c r="K2850" s="32"/>
      <c r="L2850" s="9"/>
      <c r="M2850" s="9"/>
    </row>
    <row r="2851" spans="1:16" ht="15.75" customHeight="1" x14ac:dyDescent="0.35">
      <c r="B2851" s="20"/>
      <c r="G2851" s="1"/>
      <c r="H2851" s="1"/>
      <c r="K2851" s="32"/>
      <c r="L2851" s="9"/>
      <c r="M2851" s="9"/>
    </row>
    <row r="2852" spans="1:16" ht="15.75" customHeight="1" x14ac:dyDescent="0.35">
      <c r="B2852" s="20"/>
      <c r="G2852" s="1"/>
      <c r="H2852" s="1"/>
      <c r="K2852" s="9" t="s">
        <v>254</v>
      </c>
      <c r="L2852" s="9"/>
      <c r="M2852" s="9"/>
    </row>
    <row r="2853" spans="1:16" ht="15.75" customHeight="1" x14ac:dyDescent="0.35">
      <c r="B2853" s="9"/>
      <c r="C2853" s="9"/>
      <c r="D2853" s="9"/>
      <c r="E2853" s="9"/>
      <c r="F2853" s="12"/>
      <c r="G2853" s="12"/>
      <c r="H2853" s="12"/>
      <c r="I2853" s="12"/>
      <c r="J2853" s="12"/>
      <c r="K2853" s="12"/>
      <c r="L2853" s="1"/>
    </row>
    <row r="2854" spans="1:16" ht="15.75" customHeight="1" x14ac:dyDescent="0.35">
      <c r="B2854" s="13"/>
      <c r="C2854" s="13"/>
      <c r="D2854" s="13"/>
      <c r="E2854" s="13"/>
      <c r="F2854" s="13"/>
      <c r="G2854" s="13" t="s">
        <v>456</v>
      </c>
      <c r="I2854" s="14"/>
    </row>
    <row r="2855" spans="1:16" x14ac:dyDescent="0.35">
      <c r="B2855" s="13" t="s">
        <v>5</v>
      </c>
      <c r="C2855" s="13" t="s">
        <v>1</v>
      </c>
      <c r="D2855" s="15" t="str">
        <f>VLOOKUP(A2856,Inventory!$A$4:$K$1139,7)</f>
        <v>Burman Coffee</v>
      </c>
      <c r="F2855" s="13" t="s">
        <v>235</v>
      </c>
      <c r="G2855" s="16"/>
      <c r="L2855" s="17"/>
      <c r="M2855" s="17"/>
    </row>
    <row r="2856" spans="1:16" x14ac:dyDescent="0.35">
      <c r="A2856">
        <v>136</v>
      </c>
      <c r="B2856" s="5">
        <v>44260</v>
      </c>
      <c r="C2856" s="15" t="str">
        <f>VLOOKUP(A2856,Inventory!$A$4:$K$1139,2)</f>
        <v>Indian Monsooned Malabar 2017</v>
      </c>
      <c r="F2856" s="18" t="s">
        <v>291</v>
      </c>
      <c r="G2856" s="2" t="s">
        <v>238</v>
      </c>
      <c r="L2856" s="17"/>
      <c r="M2856" s="17"/>
      <c r="P2856" s="8"/>
    </row>
    <row r="2857" spans="1:16" x14ac:dyDescent="0.35">
      <c r="I2857" s="9" t="s">
        <v>258</v>
      </c>
      <c r="L2857" s="19"/>
      <c r="M2857" s="19"/>
    </row>
    <row r="2858" spans="1:16" x14ac:dyDescent="0.35">
      <c r="B2858" s="20"/>
      <c r="C2858" s="11" t="s">
        <v>240</v>
      </c>
      <c r="D2858" s="11" t="s">
        <v>301</v>
      </c>
      <c r="E2858" s="11" t="s">
        <v>448</v>
      </c>
      <c r="F2858" s="11">
        <v>392</v>
      </c>
      <c r="G2858" s="11">
        <v>396</v>
      </c>
      <c r="H2858" s="11">
        <v>403</v>
      </c>
      <c r="I2858" s="11">
        <v>407</v>
      </c>
      <c r="J2858" s="11">
        <v>409</v>
      </c>
      <c r="K2858" s="2" t="s">
        <v>457</v>
      </c>
    </row>
    <row r="2859" spans="1:16" ht="15.75" customHeight="1" x14ac:dyDescent="0.35">
      <c r="B2859" s="20" t="s">
        <v>242</v>
      </c>
      <c r="C2859" s="30"/>
      <c r="D2859" s="30"/>
      <c r="E2859" s="23" t="s">
        <v>244</v>
      </c>
      <c r="F2859" s="23" t="s">
        <v>245</v>
      </c>
      <c r="G2859" s="23" t="s">
        <v>246</v>
      </c>
      <c r="H2859" s="23" t="s">
        <v>247</v>
      </c>
      <c r="I2859" s="23" t="s">
        <v>259</v>
      </c>
      <c r="J2859" s="23" t="s">
        <v>260</v>
      </c>
      <c r="O2859" s="4"/>
    </row>
    <row r="2860" spans="1:16" ht="1" customHeight="1" x14ac:dyDescent="0.35">
      <c r="B2860" s="24" t="s">
        <v>249</v>
      </c>
      <c r="C2860" s="25">
        <v>332</v>
      </c>
      <c r="D2860" s="25">
        <v>370</v>
      </c>
      <c r="E2860" s="25">
        <v>393</v>
      </c>
      <c r="F2860" s="25">
        <v>399</v>
      </c>
      <c r="G2860" s="25">
        <v>404</v>
      </c>
      <c r="H2860" s="25">
        <v>410</v>
      </c>
      <c r="I2860" s="25"/>
      <c r="J2860" s="25"/>
      <c r="O2860" t="e">
        <f>(O2858-3*O2857)/O2859</f>
        <v>#DIV/0!</v>
      </c>
    </row>
    <row r="2861" spans="1:16" ht="15.75" customHeight="1" x14ac:dyDescent="0.35">
      <c r="B2861" s="20" t="s">
        <v>250</v>
      </c>
      <c r="C2861" s="26">
        <v>0.26041666666666669</v>
      </c>
      <c r="D2861" s="26">
        <v>0.36805555555555558</v>
      </c>
      <c r="E2861" s="26">
        <v>0.46527777777777773</v>
      </c>
      <c r="F2861" s="26">
        <f>E2861+'Lookup Tables'!$N$1</f>
        <v>0.48611111111111105</v>
      </c>
      <c r="G2861" s="26">
        <f>F2861+'Lookup Tables'!$N$1</f>
        <v>0.50694444444444442</v>
      </c>
      <c r="H2861" s="26">
        <f>G2861+'Lookup Tables'!$N$1</f>
        <v>0.52777777777777779</v>
      </c>
      <c r="I2861" s="26">
        <f>H2861+'Lookup Tables'!$N$1</f>
        <v>0.54861111111111116</v>
      </c>
      <c r="J2861" s="26">
        <f>I2861+'Lookup Tables'!$S$1</f>
        <v>0.55902777777777779</v>
      </c>
      <c r="N2861">
        <f>MAX(F2858:M2858)-O2861</f>
        <v>25</v>
      </c>
      <c r="O2861" t="str">
        <f>RIGHT(E2858,3)</f>
        <v>384</v>
      </c>
    </row>
    <row r="2862" spans="1:16" ht="15.75" customHeight="1" x14ac:dyDescent="0.35">
      <c r="B2862" s="20" t="s">
        <v>251</v>
      </c>
      <c r="C2862" s="27">
        <v>0.2</v>
      </c>
      <c r="D2862" s="27">
        <v>0.5</v>
      </c>
      <c r="E2862" s="25"/>
      <c r="F2862" s="25"/>
      <c r="G2862" s="27" t="s">
        <v>274</v>
      </c>
      <c r="H2862" s="27"/>
      <c r="I2862" s="27"/>
      <c r="J2862" s="27"/>
      <c r="N2862" t="str">
        <f xml:space="preserve">  N2861 &amp; " degrees this time"</f>
        <v>25 degrees this time</v>
      </c>
    </row>
    <row r="2863" spans="1:16" ht="15.75" customHeight="1" x14ac:dyDescent="0.35">
      <c r="B2863" s="20" t="s">
        <v>252</v>
      </c>
      <c r="C2863" s="27">
        <v>0.9</v>
      </c>
      <c r="D2863" s="27">
        <v>0.5</v>
      </c>
      <c r="E2863" s="27">
        <v>0.3</v>
      </c>
      <c r="F2863" s="27"/>
      <c r="G2863" s="27" t="s">
        <v>274</v>
      </c>
      <c r="H2863" s="27"/>
      <c r="I2863" s="27"/>
      <c r="J2863" s="27" t="s">
        <v>275</v>
      </c>
    </row>
    <row r="2864" spans="1:16" ht="15.75" customHeight="1" x14ac:dyDescent="0.35">
      <c r="B2864" s="20"/>
      <c r="D2864" s="11"/>
      <c r="E2864" s="11"/>
      <c r="F2864" s="11"/>
      <c r="G2864" s="11"/>
      <c r="H2864" s="13"/>
    </row>
    <row r="2865" spans="1:16" ht="15.75" customHeight="1" x14ac:dyDescent="0.35">
      <c r="B2865" s="20" t="s">
        <v>458</v>
      </c>
      <c r="G2865" s="1" t="s">
        <v>347</v>
      </c>
      <c r="K2865" s="9"/>
      <c r="L2865" s="9"/>
      <c r="M2865" s="9"/>
    </row>
    <row r="2866" spans="1:16" ht="15.75" customHeight="1" x14ac:dyDescent="0.35">
      <c r="B2866" s="20"/>
      <c r="G2866" s="1"/>
      <c r="H2866" s="1"/>
      <c r="K2866" s="9"/>
      <c r="L2866" s="9"/>
      <c r="M2866" s="9"/>
    </row>
    <row r="2867" spans="1:16" ht="15.75" customHeight="1" x14ac:dyDescent="0.35">
      <c r="B2867" s="20"/>
      <c r="G2867" s="1"/>
      <c r="H2867" s="1"/>
      <c r="K2867" s="9" t="s">
        <v>254</v>
      </c>
      <c r="L2867" s="9"/>
      <c r="M2867" s="9"/>
    </row>
    <row r="2868" spans="1:16" ht="15.75" customHeight="1" x14ac:dyDescent="0.35">
      <c r="B2868" s="9"/>
      <c r="C2868" s="9"/>
      <c r="D2868" s="9"/>
      <c r="E2868" s="9"/>
      <c r="F2868" s="12"/>
      <c r="G2868" s="12"/>
      <c r="H2868" s="12"/>
      <c r="I2868" s="12"/>
      <c r="J2868" s="12"/>
      <c r="K2868" s="12"/>
      <c r="L2868" s="1"/>
    </row>
    <row r="2869" spans="1:16" ht="15.75" customHeight="1" x14ac:dyDescent="0.35">
      <c r="B2869" s="13"/>
      <c r="C2869" s="13"/>
      <c r="D2869" s="13"/>
      <c r="E2869" s="13"/>
      <c r="F2869" s="13"/>
      <c r="G2869" s="13" t="s">
        <v>459</v>
      </c>
      <c r="I2869" s="14"/>
    </row>
    <row r="2870" spans="1:16" x14ac:dyDescent="0.35">
      <c r="B2870" s="13" t="s">
        <v>5</v>
      </c>
      <c r="C2870" s="13" t="s">
        <v>1</v>
      </c>
      <c r="D2870" s="15" t="str">
        <f>VLOOKUP(A2871,Inventory!$A$4:$K$1139,7)</f>
        <v>Burman Coffee</v>
      </c>
      <c r="F2870" s="13" t="s">
        <v>235</v>
      </c>
      <c r="G2870" s="16"/>
      <c r="L2870" s="17"/>
      <c r="M2870" s="17"/>
    </row>
    <row r="2871" spans="1:16" x14ac:dyDescent="0.35">
      <c r="A2871">
        <v>136</v>
      </c>
      <c r="B2871" s="5">
        <v>44260</v>
      </c>
      <c r="C2871" s="15" t="str">
        <f>VLOOKUP(A2871,Inventory!$A$4:$K$1139,2)</f>
        <v>Indian Monsooned Malabar 2017</v>
      </c>
      <c r="F2871" s="18" t="s">
        <v>291</v>
      </c>
      <c r="G2871" s="2" t="s">
        <v>238</v>
      </c>
      <c r="L2871" s="17"/>
      <c r="M2871" s="17"/>
      <c r="P2871" s="8"/>
    </row>
    <row r="2872" spans="1:16" x14ac:dyDescent="0.35">
      <c r="H2872" s="9" t="s">
        <v>258</v>
      </c>
      <c r="L2872" s="19"/>
      <c r="M2872" s="19"/>
    </row>
    <row r="2873" spans="1:16" x14ac:dyDescent="0.35">
      <c r="B2873" s="20"/>
      <c r="C2873" s="11" t="s">
        <v>240</v>
      </c>
      <c r="D2873" s="11" t="s">
        <v>301</v>
      </c>
      <c r="E2873" s="11" t="s">
        <v>460</v>
      </c>
      <c r="F2873" s="11">
        <v>394</v>
      </c>
      <c r="G2873" s="11">
        <v>400</v>
      </c>
      <c r="H2873" s="11">
        <v>404</v>
      </c>
      <c r="I2873" s="11">
        <v>409</v>
      </c>
      <c r="J2873" s="11">
        <v>412</v>
      </c>
    </row>
    <row r="2874" spans="1:16" ht="15.75" customHeight="1" x14ac:dyDescent="0.35">
      <c r="B2874" s="20" t="s">
        <v>242</v>
      </c>
      <c r="C2874" s="30"/>
      <c r="D2874" s="30"/>
      <c r="E2874" s="23" t="s">
        <v>244</v>
      </c>
      <c r="F2874" s="23" t="s">
        <v>245</v>
      </c>
      <c r="G2874" s="23" t="s">
        <v>246</v>
      </c>
      <c r="H2874" s="23" t="s">
        <v>247</v>
      </c>
      <c r="I2874" s="23" t="s">
        <v>259</v>
      </c>
      <c r="J2874" s="23" t="s">
        <v>260</v>
      </c>
      <c r="O2874" s="4"/>
    </row>
    <row r="2875" spans="1:16" ht="1" customHeight="1" x14ac:dyDescent="0.35">
      <c r="B2875" s="24" t="s">
        <v>249</v>
      </c>
      <c r="C2875" s="25">
        <v>332</v>
      </c>
      <c r="D2875" s="25">
        <v>370</v>
      </c>
      <c r="E2875" s="25">
        <v>393</v>
      </c>
      <c r="F2875" s="25">
        <v>399</v>
      </c>
      <c r="G2875" s="25">
        <v>404</v>
      </c>
      <c r="H2875" s="25">
        <v>410</v>
      </c>
      <c r="I2875" s="25"/>
      <c r="J2875" s="25"/>
      <c r="O2875" t="e">
        <f>(O2873-3*O2872)/O2874</f>
        <v>#DIV/0!</v>
      </c>
    </row>
    <row r="2876" spans="1:16" ht="15.75" customHeight="1" x14ac:dyDescent="0.35">
      <c r="B2876" s="20" t="s">
        <v>250</v>
      </c>
      <c r="C2876" s="26">
        <v>0.23263888888888887</v>
      </c>
      <c r="D2876" s="26">
        <v>0.3298611111111111</v>
      </c>
      <c r="E2876" s="26">
        <v>0.4375</v>
      </c>
      <c r="F2876" s="26">
        <f>E2876+'Lookup Tables'!$N$1</f>
        <v>0.45833333333333331</v>
      </c>
      <c r="G2876" s="26">
        <f>F2876+'Lookup Tables'!$N$1</f>
        <v>0.47916666666666663</v>
      </c>
      <c r="H2876" s="26">
        <f>G2876+'Lookup Tables'!$N$1</f>
        <v>0.49999999999999994</v>
      </c>
      <c r="I2876" s="26">
        <f>H2876+'Lookup Tables'!$N$1</f>
        <v>0.52083333333333326</v>
      </c>
      <c r="J2876" s="26">
        <f>I2876+'Lookup Tables'!$S$1</f>
        <v>0.53124999999999989</v>
      </c>
      <c r="N2876">
        <f>MAX(F2873:M2873)-O2876</f>
        <v>25</v>
      </c>
      <c r="O2876" t="str">
        <f>RIGHT(E2873,3)</f>
        <v>387</v>
      </c>
    </row>
    <row r="2877" spans="1:16" ht="15.75" customHeight="1" x14ac:dyDescent="0.35">
      <c r="B2877" s="20" t="s">
        <v>251</v>
      </c>
      <c r="C2877" s="27">
        <v>0.2</v>
      </c>
      <c r="D2877" s="27">
        <v>0.5</v>
      </c>
      <c r="E2877" s="25"/>
      <c r="F2877" s="25"/>
      <c r="G2877" s="27" t="s">
        <v>274</v>
      </c>
      <c r="H2877" s="27"/>
      <c r="I2877" s="27"/>
      <c r="J2877" s="27"/>
      <c r="N2877" t="str">
        <f xml:space="preserve">  N2876 &amp; " degrees this time"</f>
        <v>25 degrees this time</v>
      </c>
    </row>
    <row r="2878" spans="1:16" ht="15.75" customHeight="1" x14ac:dyDescent="0.35">
      <c r="B2878" s="20" t="s">
        <v>252</v>
      </c>
      <c r="C2878" s="27">
        <v>0.9</v>
      </c>
      <c r="D2878" s="27">
        <v>0.5</v>
      </c>
      <c r="E2878" s="27">
        <v>0.3</v>
      </c>
      <c r="F2878" s="27"/>
      <c r="G2878" s="27" t="s">
        <v>274</v>
      </c>
      <c r="H2878" s="27"/>
      <c r="I2878" s="27"/>
      <c r="J2878" s="27" t="s">
        <v>275</v>
      </c>
    </row>
    <row r="2879" spans="1:16" ht="15.75" customHeight="1" x14ac:dyDescent="0.35">
      <c r="B2879" s="20"/>
      <c r="D2879" s="11"/>
      <c r="E2879" s="11"/>
      <c r="F2879" s="11"/>
      <c r="G2879" s="11"/>
      <c r="H2879" s="13"/>
    </row>
    <row r="2880" spans="1:16" ht="15.75" customHeight="1" x14ac:dyDescent="0.35">
      <c r="G2880" s="1" t="s">
        <v>347</v>
      </c>
      <c r="K2880" s="9"/>
      <c r="L2880" s="9"/>
      <c r="M2880" s="9"/>
    </row>
    <row r="2881" spans="1:16" ht="15.75" customHeight="1" x14ac:dyDescent="0.35">
      <c r="B2881" s="20"/>
      <c r="G2881" s="1"/>
      <c r="H2881" s="1"/>
      <c r="K2881" s="9"/>
      <c r="L2881" s="9"/>
      <c r="M2881" s="9"/>
    </row>
    <row r="2882" spans="1:16" ht="15.75" customHeight="1" x14ac:dyDescent="0.35">
      <c r="B2882" s="20"/>
      <c r="G2882" s="1"/>
      <c r="H2882" s="1"/>
      <c r="K2882" s="9" t="s">
        <v>254</v>
      </c>
      <c r="L2882" s="9"/>
      <c r="M2882" s="9"/>
    </row>
    <row r="2883" spans="1:16" ht="15.75" customHeight="1" x14ac:dyDescent="0.35">
      <c r="B2883" s="9"/>
      <c r="C2883" s="9"/>
      <c r="D2883" s="9"/>
      <c r="E2883" s="9"/>
      <c r="F2883" s="12"/>
      <c r="G2883" s="12"/>
      <c r="H2883" s="12"/>
      <c r="I2883" s="12"/>
      <c r="J2883" s="12"/>
      <c r="K2883" s="12"/>
      <c r="L2883" s="1"/>
    </row>
    <row r="2884" spans="1:16" ht="15.75" customHeight="1" x14ac:dyDescent="0.35">
      <c r="B2884" s="13"/>
      <c r="C2884" s="13"/>
      <c r="D2884" s="15"/>
      <c r="H2884" s="14" t="s">
        <v>255</v>
      </c>
    </row>
    <row r="2885" spans="1:16" x14ac:dyDescent="0.35">
      <c r="B2885" s="13" t="s">
        <v>5</v>
      </c>
      <c r="C2885" s="13" t="s">
        <v>1</v>
      </c>
      <c r="D2885" s="15" t="str">
        <f>VLOOKUP(A2886,Inventory!$A$4:$K$1139,7)</f>
        <v xml:space="preserve">Sweet Marias                       </v>
      </c>
      <c r="F2885" s="13" t="s">
        <v>235</v>
      </c>
      <c r="G2885" s="16"/>
      <c r="L2885" s="17"/>
      <c r="M2885" s="17"/>
    </row>
    <row r="2886" spans="1:16" x14ac:dyDescent="0.35">
      <c r="A2886">
        <v>158</v>
      </c>
      <c r="B2886" s="5">
        <v>44261</v>
      </c>
      <c r="C2886" s="15" t="str">
        <f>VLOOKUP(A2886,Inventory!$A$4:$K$1139,2)</f>
        <v>Ethiopia Organic Sidama Keramo 2020</v>
      </c>
      <c r="E2886" s="11"/>
      <c r="F2886" s="31" t="s">
        <v>291</v>
      </c>
      <c r="G2886" s="2" t="s">
        <v>286</v>
      </c>
      <c r="L2886" s="17"/>
      <c r="M2886" s="17"/>
      <c r="P2886" s="8"/>
    </row>
    <row r="2887" spans="1:16" x14ac:dyDescent="0.35">
      <c r="D2887" s="11"/>
      <c r="E2887" s="11"/>
      <c r="G2887" s="16"/>
      <c r="L2887" s="19"/>
      <c r="M2887" s="19"/>
    </row>
    <row r="2888" spans="1:16" x14ac:dyDescent="0.35">
      <c r="B2888" s="20"/>
      <c r="C2888" s="11" t="s">
        <v>240</v>
      </c>
      <c r="D2888" s="11" t="s">
        <v>272</v>
      </c>
      <c r="E2888" s="11" t="s">
        <v>319</v>
      </c>
      <c r="F2888" s="11">
        <v>381</v>
      </c>
      <c r="G2888" s="11">
        <v>388</v>
      </c>
      <c r="H2888" s="11">
        <v>395</v>
      </c>
      <c r="I2888" s="11"/>
      <c r="J2888" s="11"/>
      <c r="K2888" s="11"/>
      <c r="L2888" s="11"/>
    </row>
    <row r="2889" spans="1:16" ht="15.75" customHeight="1" x14ac:dyDescent="0.35">
      <c r="B2889" s="20" t="s">
        <v>242</v>
      </c>
      <c r="C2889" s="30"/>
      <c r="D2889" s="30"/>
      <c r="E2889" s="23" t="s">
        <v>244</v>
      </c>
      <c r="F2889" s="23" t="s">
        <v>245</v>
      </c>
      <c r="G2889" s="23" t="s">
        <v>246</v>
      </c>
      <c r="H2889" s="23" t="s">
        <v>247</v>
      </c>
      <c r="I2889" s="23" t="s">
        <v>248</v>
      </c>
      <c r="O2889" s="4"/>
    </row>
    <row r="2890" spans="1:16" ht="1" customHeight="1" x14ac:dyDescent="0.35">
      <c r="B2890" s="24" t="s">
        <v>249</v>
      </c>
      <c r="C2890" s="25"/>
      <c r="D2890" s="25"/>
      <c r="E2890" s="25"/>
      <c r="F2890" s="25"/>
      <c r="G2890" s="25"/>
      <c r="H2890" s="25"/>
      <c r="I2890" s="25"/>
      <c r="O2890" t="e">
        <f>(O2888-3*O2887)/O2889</f>
        <v>#DIV/0!</v>
      </c>
    </row>
    <row r="2891" spans="1:16" ht="15.75" customHeight="1" x14ac:dyDescent="0.35">
      <c r="B2891" s="20" t="s">
        <v>250</v>
      </c>
      <c r="C2891" s="26">
        <v>0.17361111111111113</v>
      </c>
      <c r="D2891" s="26">
        <v>0.26041666666666669</v>
      </c>
      <c r="E2891" s="26">
        <v>0.35069444444444442</v>
      </c>
      <c r="F2891" s="26">
        <f>E2891+'Lookup Tables'!$N$1</f>
        <v>0.37152777777777773</v>
      </c>
      <c r="G2891" s="26">
        <f>F2891+'Lookup Tables'!$N$1</f>
        <v>0.39236111111111105</v>
      </c>
      <c r="H2891" s="26">
        <f>G2891+'Lookup Tables'!$N$1</f>
        <v>0.41319444444444436</v>
      </c>
      <c r="I2891" s="26">
        <f>H2891+'Lookup Tables'!$S$1</f>
        <v>0.42361111111111105</v>
      </c>
      <c r="N2891">
        <f>MAX(F2888:M2888)-O2891</f>
        <v>22</v>
      </c>
      <c r="O2891" t="str">
        <f>RIGHT(E2888,3)</f>
        <v>373</v>
      </c>
    </row>
    <row r="2892" spans="1:16" ht="15.75" customHeight="1" x14ac:dyDescent="0.35">
      <c r="B2892" s="20" t="s">
        <v>251</v>
      </c>
      <c r="C2892" s="27">
        <v>0.2</v>
      </c>
      <c r="D2892" s="27">
        <v>0.5</v>
      </c>
      <c r="E2892" s="27"/>
      <c r="F2892" s="27"/>
      <c r="G2892" s="27"/>
      <c r="H2892" s="27"/>
      <c r="I2892" s="27"/>
      <c r="N2892" t="str">
        <f xml:space="preserve">  N2891 &amp; " degrees this time"</f>
        <v>22 degrees this time</v>
      </c>
    </row>
    <row r="2893" spans="1:16" ht="15.75" customHeight="1" x14ac:dyDescent="0.35">
      <c r="B2893" s="20" t="s">
        <v>252</v>
      </c>
      <c r="C2893" s="27">
        <v>0.9</v>
      </c>
      <c r="D2893" s="27">
        <v>0.8</v>
      </c>
      <c r="E2893" s="27"/>
      <c r="F2893" s="27">
        <v>0.5</v>
      </c>
      <c r="G2893" s="27" t="s">
        <v>274</v>
      </c>
      <c r="H2893" s="27" t="s">
        <v>275</v>
      </c>
      <c r="I2893" s="27" t="s">
        <v>275</v>
      </c>
    </row>
    <row r="2894" spans="1:16" ht="15.75" customHeight="1" x14ac:dyDescent="0.35">
      <c r="B2894" s="20"/>
      <c r="F2894" s="1"/>
    </row>
    <row r="2895" spans="1:16" ht="15.75" customHeight="1" x14ac:dyDescent="0.35">
      <c r="B2895" s="20"/>
      <c r="G2895" s="1" t="s">
        <v>351</v>
      </c>
      <c r="K2895" s="32" t="s">
        <v>369</v>
      </c>
      <c r="L2895" s="9"/>
      <c r="M2895" s="9"/>
    </row>
    <row r="2896" spans="1:16" ht="15.75" customHeight="1" x14ac:dyDescent="0.35">
      <c r="B2896" s="20"/>
      <c r="G2896" s="1"/>
      <c r="H2896" s="1"/>
      <c r="K2896" s="32"/>
      <c r="L2896" s="9"/>
      <c r="M2896" s="9"/>
    </row>
    <row r="2897" spans="1:16" ht="15.75" customHeight="1" x14ac:dyDescent="0.35">
      <c r="B2897" s="20"/>
      <c r="G2897" s="1"/>
      <c r="H2897" s="1"/>
      <c r="K2897" s="9" t="s">
        <v>300</v>
      </c>
      <c r="L2897" s="9"/>
      <c r="M2897" s="9"/>
    </row>
    <row r="2898" spans="1:16" ht="15.75" customHeight="1" x14ac:dyDescent="0.35">
      <c r="B2898" s="9"/>
      <c r="C2898" s="9"/>
      <c r="D2898" s="9"/>
      <c r="E2898" s="9"/>
      <c r="F2898" s="12"/>
      <c r="G2898" s="12"/>
      <c r="H2898" s="12"/>
      <c r="I2898" s="12"/>
      <c r="J2898" s="12"/>
      <c r="K2898" s="12"/>
      <c r="L2898" s="1"/>
    </row>
    <row r="2899" spans="1:16" ht="15.75" customHeight="1" x14ac:dyDescent="0.35">
      <c r="B2899" s="13"/>
      <c r="C2899" s="13"/>
      <c r="D2899" s="15"/>
    </row>
    <row r="2900" spans="1:16" x14ac:dyDescent="0.35">
      <c r="B2900" s="13" t="s">
        <v>5</v>
      </c>
      <c r="C2900" s="13" t="s">
        <v>1</v>
      </c>
      <c r="D2900" s="15" t="str">
        <f>VLOOKUP(A2901,Inventory!$A$4:$K$1139,7)</f>
        <v xml:space="preserve">Roastmasters                       </v>
      </c>
      <c r="F2900" s="13" t="s">
        <v>235</v>
      </c>
      <c r="G2900" s="16"/>
      <c r="L2900" s="17"/>
      <c r="M2900" s="17"/>
    </row>
    <row r="2901" spans="1:16" x14ac:dyDescent="0.35">
      <c r="A2901">
        <v>150</v>
      </c>
      <c r="B2901" s="5">
        <v>44261</v>
      </c>
      <c r="C2901" s="15" t="str">
        <f>VLOOKUP(A2901,Inventory!$A$4:$K$1139,2)</f>
        <v>Ethiopia Yirgacheffe Reko 2018</v>
      </c>
      <c r="F2901" s="34" t="s">
        <v>279</v>
      </c>
      <c r="G2901" s="2" t="s">
        <v>286</v>
      </c>
      <c r="L2901" s="17"/>
      <c r="M2901" s="17"/>
      <c r="P2901" s="8"/>
    </row>
    <row r="2902" spans="1:16" x14ac:dyDescent="0.35">
      <c r="G2902" s="16"/>
      <c r="L2902" s="19"/>
      <c r="M2902" s="19"/>
    </row>
    <row r="2903" spans="1:16" x14ac:dyDescent="0.35">
      <c r="B2903" s="20"/>
      <c r="C2903" s="11" t="s">
        <v>240</v>
      </c>
      <c r="D2903" s="11" t="s">
        <v>241</v>
      </c>
      <c r="E2903" s="11" t="s">
        <v>427</v>
      </c>
      <c r="F2903" s="11">
        <v>372</v>
      </c>
      <c r="G2903" s="11">
        <v>378</v>
      </c>
      <c r="H2903" s="11">
        <v>385</v>
      </c>
      <c r="I2903" s="11">
        <v>390</v>
      </c>
      <c r="J2903" s="11">
        <v>394</v>
      </c>
      <c r="K2903" s="11"/>
      <c r="L2903" s="11"/>
    </row>
    <row r="2904" spans="1:16" ht="15.75" customHeight="1" x14ac:dyDescent="0.35">
      <c r="B2904" s="20" t="s">
        <v>242</v>
      </c>
      <c r="C2904" s="30"/>
      <c r="D2904" s="30"/>
      <c r="E2904" s="23" t="s">
        <v>244</v>
      </c>
      <c r="F2904" s="23" t="s">
        <v>245</v>
      </c>
      <c r="G2904" s="23" t="s">
        <v>246</v>
      </c>
      <c r="H2904" s="23" t="s">
        <v>247</v>
      </c>
      <c r="I2904" s="23" t="s">
        <v>248</v>
      </c>
      <c r="J2904" s="23" t="s">
        <v>259</v>
      </c>
      <c r="O2904" s="4"/>
    </row>
    <row r="2905" spans="1:16" ht="1" customHeight="1" x14ac:dyDescent="0.35">
      <c r="B2905" s="24" t="s">
        <v>249</v>
      </c>
      <c r="C2905" s="25"/>
      <c r="D2905" s="25"/>
      <c r="E2905" s="25"/>
      <c r="F2905" s="25"/>
      <c r="G2905" s="25"/>
      <c r="H2905" s="25"/>
      <c r="I2905" s="25"/>
      <c r="J2905" s="25"/>
      <c r="O2905" t="e">
        <f>(O2903-3*O2902)/O2904</f>
        <v>#DIV/0!</v>
      </c>
    </row>
    <row r="2906" spans="1:16" ht="15.75" customHeight="1" x14ac:dyDescent="0.35">
      <c r="B2906" s="20" t="s">
        <v>250</v>
      </c>
      <c r="C2906" s="26">
        <v>0.20138888888888887</v>
      </c>
      <c r="D2906" s="26">
        <v>0.28819444444444448</v>
      </c>
      <c r="E2906" s="26">
        <v>0.375</v>
      </c>
      <c r="F2906" s="26">
        <f>E2906+'Lookup Tables'!$N$1</f>
        <v>0.39583333333333331</v>
      </c>
      <c r="G2906" s="26">
        <f>F2906+'Lookup Tables'!$N$1</f>
        <v>0.41666666666666663</v>
      </c>
      <c r="H2906" s="26">
        <f>G2906+'Lookup Tables'!$N$1</f>
        <v>0.43749999999999994</v>
      </c>
      <c r="I2906" s="26">
        <f>H2906+'Lookup Tables'!$S$1</f>
        <v>0.44791666666666663</v>
      </c>
      <c r="J2906" s="26">
        <f>I2906+'Lookup Tables'!$S$1</f>
        <v>0.45833333333333331</v>
      </c>
      <c r="N2906">
        <f>MAX(F2903:M2903)-O2906</f>
        <v>28</v>
      </c>
      <c r="O2906" t="str">
        <f>RIGHT(E2903,3)</f>
        <v>366</v>
      </c>
    </row>
    <row r="2907" spans="1:16" ht="15.75" customHeight="1" x14ac:dyDescent="0.35">
      <c r="B2907" s="20" t="s">
        <v>251</v>
      </c>
      <c r="C2907" s="27">
        <v>0.2</v>
      </c>
      <c r="D2907" s="27">
        <v>0.5</v>
      </c>
      <c r="E2907" s="27"/>
      <c r="F2907" s="27"/>
      <c r="G2907" s="27"/>
      <c r="H2907" s="25"/>
      <c r="I2907" s="27"/>
      <c r="J2907" s="27"/>
      <c r="N2907" t="str">
        <f xml:space="preserve">  N2906 &amp; " degrees this time"</f>
        <v>28 degrees this time</v>
      </c>
    </row>
    <row r="2908" spans="1:16" ht="15.75" customHeight="1" x14ac:dyDescent="0.35">
      <c r="B2908" s="20" t="s">
        <v>252</v>
      </c>
      <c r="C2908" s="27">
        <v>0.9</v>
      </c>
      <c r="D2908" s="27">
        <v>0.8</v>
      </c>
      <c r="E2908" s="27"/>
      <c r="F2908" s="27"/>
      <c r="G2908" s="27">
        <v>0.3</v>
      </c>
      <c r="H2908" s="27"/>
      <c r="I2908" s="27" t="s">
        <v>275</v>
      </c>
      <c r="J2908" s="27" t="s">
        <v>275</v>
      </c>
    </row>
    <row r="2909" spans="1:16" ht="15.75" customHeight="1" x14ac:dyDescent="0.35">
      <c r="B2909" s="20"/>
      <c r="C2909" s="30"/>
      <c r="D2909" s="11"/>
      <c r="E2909" s="1"/>
      <c r="F2909" s="11"/>
      <c r="G2909" s="11"/>
      <c r="H2909" s="11"/>
    </row>
    <row r="2910" spans="1:16" ht="15.75" customHeight="1" x14ac:dyDescent="0.35">
      <c r="B2910" s="38"/>
      <c r="D2910" s="11"/>
      <c r="E2910" s="11"/>
      <c r="F2910" s="11"/>
      <c r="G2910" s="1" t="s">
        <v>292</v>
      </c>
      <c r="K2910" s="9" t="s">
        <v>431</v>
      </c>
      <c r="L2910" s="9"/>
      <c r="M2910" s="9"/>
    </row>
    <row r="2911" spans="1:16" ht="15.75" customHeight="1" x14ac:dyDescent="0.35">
      <c r="B2911" s="20"/>
      <c r="G2911" s="1"/>
      <c r="H2911" s="1"/>
      <c r="K2911" s="9"/>
      <c r="L2911" s="9"/>
      <c r="M2911" s="9"/>
    </row>
    <row r="2912" spans="1:16" ht="15.75" customHeight="1" x14ac:dyDescent="0.35">
      <c r="B2912" s="20"/>
      <c r="G2912" s="1"/>
      <c r="H2912" s="1"/>
      <c r="K2912" s="9" t="s">
        <v>254</v>
      </c>
      <c r="L2912" s="9"/>
      <c r="M2912" s="9"/>
    </row>
    <row r="2913" spans="1:16" ht="15.75" customHeight="1" x14ac:dyDescent="0.35">
      <c r="B2913" s="9"/>
      <c r="C2913" s="9"/>
      <c r="D2913" s="9"/>
      <c r="E2913" s="9"/>
      <c r="F2913" s="12"/>
      <c r="G2913" s="12"/>
      <c r="H2913" s="12"/>
      <c r="I2913" s="12"/>
      <c r="J2913" s="12"/>
      <c r="K2913" s="12"/>
      <c r="L2913" s="1"/>
    </row>
    <row r="2914" spans="1:16" ht="15.75" customHeight="1" x14ac:dyDescent="0.35">
      <c r="B2914" s="13"/>
      <c r="C2914" s="13"/>
      <c r="D2914" s="15"/>
      <c r="G2914" s="16"/>
      <c r="H2914" s="14" t="s">
        <v>255</v>
      </c>
      <c r="I2914" s="14"/>
      <c r="L2914" s="2"/>
    </row>
    <row r="2915" spans="1:16" x14ac:dyDescent="0.35">
      <c r="B2915" s="13" t="s">
        <v>5</v>
      </c>
      <c r="C2915" s="13" t="s">
        <v>1</v>
      </c>
      <c r="D2915" s="15" t="str">
        <f>VLOOKUP(A2916,Inventory!$A$4:$K$1139,7)</f>
        <v>Royal coffee</v>
      </c>
      <c r="F2915" s="13" t="s">
        <v>235</v>
      </c>
      <c r="G2915" s="16"/>
      <c r="L2915" s="17"/>
      <c r="M2915" s="17"/>
    </row>
    <row r="2916" spans="1:16" x14ac:dyDescent="0.35">
      <c r="A2916">
        <v>141</v>
      </c>
      <c r="B2916" s="5">
        <v>44261</v>
      </c>
      <c r="C2916" s="15" t="str">
        <f>VLOOKUP(A2916,Inventory!$A$4:$K$1139,2)</f>
        <v>Yemen Al-Haymah Rooftop Raised Bed Natural 2017</v>
      </c>
      <c r="F2916" s="31" t="s">
        <v>291</v>
      </c>
      <c r="G2916" s="2" t="s">
        <v>286</v>
      </c>
      <c r="L2916" s="17"/>
      <c r="M2916" s="17"/>
      <c r="P2916" s="8"/>
    </row>
    <row r="2917" spans="1:16" x14ac:dyDescent="0.35">
      <c r="B2917" t="s">
        <v>16</v>
      </c>
      <c r="G2917" s="16"/>
      <c r="L2917" s="19"/>
      <c r="M2917" s="19"/>
    </row>
    <row r="2918" spans="1:16" x14ac:dyDescent="0.35">
      <c r="B2918" s="20"/>
      <c r="C2918" s="11" t="s">
        <v>240</v>
      </c>
      <c r="D2918" s="11" t="s">
        <v>272</v>
      </c>
      <c r="E2918" s="11" t="s">
        <v>461</v>
      </c>
      <c r="F2918" s="11">
        <v>390</v>
      </c>
      <c r="G2918" s="11">
        <v>399</v>
      </c>
      <c r="H2918" s="11">
        <v>402</v>
      </c>
      <c r="I2918" s="11">
        <v>404</v>
      </c>
      <c r="J2918" s="11" t="s">
        <v>313</v>
      </c>
      <c r="K2918" s="11"/>
      <c r="L2918" s="11"/>
    </row>
    <row r="2919" spans="1:16" ht="15.75" customHeight="1" x14ac:dyDescent="0.35">
      <c r="B2919" s="20" t="s">
        <v>242</v>
      </c>
      <c r="C2919" s="21"/>
      <c r="D2919" s="22" t="s">
        <v>294</v>
      </c>
      <c r="E2919" s="23" t="s">
        <v>244</v>
      </c>
      <c r="F2919" s="23" t="s">
        <v>245</v>
      </c>
      <c r="G2919" s="23" t="s">
        <v>246</v>
      </c>
      <c r="H2919" s="23" t="s">
        <v>273</v>
      </c>
      <c r="I2919" s="23" t="s">
        <v>247</v>
      </c>
      <c r="O2919" s="4"/>
    </row>
    <row r="2920" spans="1:16" ht="1" customHeight="1" x14ac:dyDescent="0.35">
      <c r="B2920" s="24" t="s">
        <v>249</v>
      </c>
      <c r="C2920" s="25">
        <v>320</v>
      </c>
      <c r="D2920" s="25">
        <v>350</v>
      </c>
      <c r="E2920" s="25"/>
      <c r="F2920" s="25"/>
      <c r="G2920" s="25"/>
      <c r="H2920" s="23" t="s">
        <v>247</v>
      </c>
      <c r="I2920" s="25"/>
      <c r="O2920" t="e">
        <f>(O2918-3*O2917)/O2919</f>
        <v>#DIV/0!</v>
      </c>
    </row>
    <row r="2921" spans="1:16" ht="15.75" customHeight="1" x14ac:dyDescent="0.35">
      <c r="B2921" s="20" t="s">
        <v>250</v>
      </c>
      <c r="C2921" s="26">
        <v>0.19097222222222221</v>
      </c>
      <c r="D2921" s="26">
        <v>0.28472222222222221</v>
      </c>
      <c r="E2921" s="26">
        <v>0.40277777777777773</v>
      </c>
      <c r="F2921" s="26">
        <f>E2921+'Lookup Tables'!$N$1</f>
        <v>0.42361111111111105</v>
      </c>
      <c r="G2921" s="26">
        <f>F2921+'Lookup Tables'!$N$1</f>
        <v>0.44444444444444436</v>
      </c>
      <c r="H2921" s="26">
        <f>G2921+'Lookup Tables'!$S$1</f>
        <v>0.45486111111111105</v>
      </c>
      <c r="I2921" s="26">
        <f>H2921+'Lookup Tables'!$S$1</f>
        <v>0.46527777777777773</v>
      </c>
      <c r="N2921">
        <f>MAX(F2918:M2918)-O2921</f>
        <v>22</v>
      </c>
      <c r="O2921" t="str">
        <f>RIGHT(E2918,3)</f>
        <v>382</v>
      </c>
    </row>
    <row r="2922" spans="1:16" ht="15.75" customHeight="1" x14ac:dyDescent="0.35">
      <c r="B2922" s="20" t="s">
        <v>251</v>
      </c>
      <c r="C2922" s="27">
        <v>0.2</v>
      </c>
      <c r="D2922" s="27">
        <v>0.5</v>
      </c>
      <c r="E2922" s="27"/>
      <c r="F2922" s="27"/>
      <c r="G2922" s="27">
        <v>0.25</v>
      </c>
      <c r="H2922" s="27"/>
      <c r="I2922" s="27"/>
      <c r="N2922" t="str">
        <f xml:space="preserve">  N2921 &amp; " degrees this time"</f>
        <v>22 degrees this time</v>
      </c>
    </row>
    <row r="2923" spans="1:16" ht="15.75" customHeight="1" x14ac:dyDescent="0.35">
      <c r="B2923" s="20" t="s">
        <v>252</v>
      </c>
      <c r="C2923" s="27">
        <v>0.9</v>
      </c>
      <c r="D2923" s="27">
        <v>0.7</v>
      </c>
      <c r="E2923" s="27">
        <v>0.6</v>
      </c>
      <c r="F2923" s="27"/>
      <c r="G2923" s="27"/>
      <c r="H2923" s="27"/>
      <c r="I2923" s="27" t="s">
        <v>275</v>
      </c>
    </row>
    <row r="2924" spans="1:16" ht="15.75" customHeight="1" x14ac:dyDescent="0.35">
      <c r="B2924" s="20"/>
      <c r="D2924" s="11"/>
      <c r="E2924" s="40"/>
      <c r="F2924" s="11"/>
      <c r="G2924" s="11"/>
    </row>
    <row r="2925" spans="1:16" ht="15.75" customHeight="1" x14ac:dyDescent="0.35">
      <c r="B2925" s="38"/>
      <c r="D2925" s="15"/>
      <c r="F2925" s="13"/>
      <c r="G2925" s="1" t="s">
        <v>296</v>
      </c>
      <c r="K2925" s="32" t="s">
        <v>377</v>
      </c>
      <c r="L2925" s="9"/>
      <c r="M2925" s="9"/>
    </row>
    <row r="2926" spans="1:16" ht="15.75" customHeight="1" x14ac:dyDescent="0.35">
      <c r="B2926" s="20"/>
      <c r="G2926" s="1"/>
      <c r="H2926" s="1"/>
      <c r="K2926" s="9"/>
      <c r="L2926" s="9"/>
      <c r="M2926" s="9"/>
    </row>
    <row r="2927" spans="1:16" ht="15.75" customHeight="1" x14ac:dyDescent="0.35">
      <c r="B2927" s="20"/>
      <c r="G2927" s="1"/>
      <c r="H2927" s="1"/>
      <c r="K2927" s="9" t="s">
        <v>297</v>
      </c>
      <c r="L2927" s="9"/>
      <c r="M2927" s="9"/>
    </row>
    <row r="2928" spans="1:16" ht="15.75" customHeight="1" x14ac:dyDescent="0.35">
      <c r="B2928" s="9"/>
      <c r="C2928" s="9"/>
      <c r="D2928" s="9"/>
      <c r="E2928" s="9"/>
      <c r="F2928" s="12"/>
      <c r="G2928" s="12"/>
      <c r="H2928" s="12"/>
      <c r="I2928" s="12"/>
      <c r="J2928" s="12"/>
      <c r="K2928" s="12"/>
      <c r="L2928" s="1"/>
    </row>
    <row r="2929" spans="1:16" ht="15.75" customHeight="1" x14ac:dyDescent="0.35">
      <c r="B2929" s="13"/>
      <c r="C2929" s="13"/>
      <c r="D2929" s="13"/>
      <c r="E2929" s="13"/>
      <c r="F2929" s="13"/>
      <c r="G2929" s="13"/>
      <c r="I2929" s="14"/>
    </row>
    <row r="2930" spans="1:16" x14ac:dyDescent="0.35">
      <c r="B2930" s="13" t="s">
        <v>5</v>
      </c>
      <c r="C2930" s="13" t="s">
        <v>1</v>
      </c>
      <c r="D2930" s="15" t="str">
        <f>VLOOKUP(A2931,Inventory!$A$4:$K$1139,7)</f>
        <v xml:space="preserve">Sweet Marias                       </v>
      </c>
      <c r="F2930" s="13" t="s">
        <v>235</v>
      </c>
      <c r="G2930" s="16"/>
      <c r="H2930" s="14" t="s">
        <v>236</v>
      </c>
      <c r="L2930" s="17"/>
      <c r="M2930" s="17"/>
    </row>
    <row r="2931" spans="1:16" x14ac:dyDescent="0.35">
      <c r="A2931">
        <v>156</v>
      </c>
      <c r="B2931" s="5">
        <v>44245</v>
      </c>
      <c r="C2931" s="15" t="str">
        <f>VLOOKUP(A2931,Inventory!$A$4:$K$1139,2)</f>
        <v>Rwanda Nyamasheke 2020 SWP Decaf</v>
      </c>
      <c r="F2931" s="18" t="s">
        <v>237</v>
      </c>
      <c r="G2931" s="2" t="s">
        <v>238</v>
      </c>
      <c r="L2931" s="17"/>
      <c r="M2931" s="17"/>
      <c r="P2931" s="8"/>
    </row>
    <row r="2932" spans="1:16" x14ac:dyDescent="0.35">
      <c r="J2932" s="1" t="s">
        <v>16</v>
      </c>
      <c r="L2932" s="19"/>
      <c r="M2932" s="19"/>
    </row>
    <row r="2933" spans="1:16" x14ac:dyDescent="0.35">
      <c r="C2933" s="11" t="s">
        <v>240</v>
      </c>
      <c r="D2933" s="11" t="s">
        <v>241</v>
      </c>
      <c r="E2933" s="11" t="s">
        <v>447</v>
      </c>
      <c r="F2933" s="11">
        <v>381</v>
      </c>
      <c r="G2933" s="11">
        <v>388</v>
      </c>
      <c r="H2933" s="11">
        <v>395</v>
      </c>
      <c r="I2933" s="11">
        <v>401</v>
      </c>
      <c r="J2933" s="11" t="s">
        <v>373</v>
      </c>
      <c r="K2933" s="11"/>
      <c r="L2933" s="11"/>
    </row>
    <row r="2934" spans="1:16" ht="15.75" customHeight="1" x14ac:dyDescent="0.35">
      <c r="B2934" s="20" t="s">
        <v>242</v>
      </c>
      <c r="C2934" s="21"/>
      <c r="D2934" s="22" t="s">
        <v>382</v>
      </c>
      <c r="E2934" s="23" t="s">
        <v>244</v>
      </c>
      <c r="F2934" s="23" t="s">
        <v>245</v>
      </c>
      <c r="G2934" s="23" t="s">
        <v>246</v>
      </c>
      <c r="H2934" s="23" t="s">
        <v>247</v>
      </c>
      <c r="I2934" s="23" t="s">
        <v>259</v>
      </c>
      <c r="J2934" s="23" t="s">
        <v>260</v>
      </c>
      <c r="O2934" s="4"/>
    </row>
    <row r="2935" spans="1:16" ht="1" customHeight="1" x14ac:dyDescent="0.35">
      <c r="B2935" s="24" t="s">
        <v>249</v>
      </c>
      <c r="C2935" s="25">
        <v>320</v>
      </c>
      <c r="D2935" s="25">
        <v>350</v>
      </c>
      <c r="E2935" s="25">
        <v>377</v>
      </c>
      <c r="F2935" s="25">
        <v>384</v>
      </c>
      <c r="G2935" s="25">
        <v>388</v>
      </c>
      <c r="H2935" s="25">
        <v>392</v>
      </c>
      <c r="I2935" s="25">
        <v>395</v>
      </c>
      <c r="J2935" s="25">
        <v>415</v>
      </c>
      <c r="O2935" t="e">
        <f>(O2933-3*O2932)/O2934</f>
        <v>#DIV/0!</v>
      </c>
    </row>
    <row r="2936" spans="1:16" ht="15.75" customHeight="1" x14ac:dyDescent="0.35">
      <c r="B2936" s="20" t="s">
        <v>250</v>
      </c>
      <c r="C2936" s="26">
        <v>0.26041666666666669</v>
      </c>
      <c r="D2936" s="26">
        <v>0.34027777777777773</v>
      </c>
      <c r="E2936" s="26">
        <v>0.46527777777777773</v>
      </c>
      <c r="F2936" s="26">
        <f>E2936+'Lookup Tables'!$N$1</f>
        <v>0.48611111111111105</v>
      </c>
      <c r="G2936" s="26">
        <f>F2936+'Lookup Tables'!$N$1</f>
        <v>0.50694444444444442</v>
      </c>
      <c r="H2936" s="26">
        <f>G2936+'Lookup Tables'!$N$1</f>
        <v>0.52777777777777779</v>
      </c>
      <c r="I2936" s="26">
        <f>H2936+'Lookup Tables'!$N$1</f>
        <v>0.54861111111111116</v>
      </c>
      <c r="J2936" s="26">
        <f>I2936+'Lookup Tables'!$M$1</f>
        <v>0.55902777777777779</v>
      </c>
      <c r="N2936">
        <f>MAX(F2933:M2933)-O2936</f>
        <v>27</v>
      </c>
      <c r="O2936" t="str">
        <f>RIGHT(E2933,3)</f>
        <v>374</v>
      </c>
    </row>
    <row r="2937" spans="1:16" ht="15.75" customHeight="1" x14ac:dyDescent="0.35">
      <c r="B2937" s="20" t="s">
        <v>251</v>
      </c>
      <c r="C2937" s="27">
        <v>0.2</v>
      </c>
      <c r="D2937" s="27">
        <v>0.5</v>
      </c>
      <c r="E2937" s="27"/>
      <c r="F2937" s="27"/>
      <c r="G2937" s="27"/>
      <c r="H2937" s="27"/>
      <c r="I2937" s="27"/>
      <c r="J2937" s="27"/>
      <c r="N2937" t="str">
        <f xml:space="preserve">  N2936 &amp; " degrees this time"</f>
        <v>27 degrees this time</v>
      </c>
    </row>
    <row r="2938" spans="1:16" ht="15.75" customHeight="1" x14ac:dyDescent="0.35">
      <c r="B2938" s="20" t="s">
        <v>252</v>
      </c>
      <c r="C2938" s="27">
        <v>0.9</v>
      </c>
      <c r="D2938" s="27">
        <v>0.7</v>
      </c>
      <c r="E2938" s="27">
        <v>0.6</v>
      </c>
      <c r="F2938" s="27"/>
      <c r="G2938" s="27"/>
      <c r="H2938" s="27"/>
      <c r="I2938" s="27"/>
      <c r="J2938" s="27"/>
    </row>
    <row r="2939" spans="1:16" ht="15.75" customHeight="1" x14ac:dyDescent="0.35">
      <c r="B2939" s="20"/>
      <c r="D2939" s="11"/>
      <c r="E2939" s="11"/>
      <c r="F2939" s="28"/>
      <c r="H2939" s="1"/>
      <c r="I2939" s="1"/>
    </row>
    <row r="2940" spans="1:16" ht="15.75" customHeight="1" x14ac:dyDescent="0.35">
      <c r="G2940" s="1" t="s">
        <v>383</v>
      </c>
      <c r="K2940" s="32" t="s">
        <v>415</v>
      </c>
      <c r="L2940" s="9"/>
      <c r="M2940" s="9"/>
    </row>
    <row r="2941" spans="1:16" ht="15.75" customHeight="1" x14ac:dyDescent="0.35">
      <c r="B2941" s="20"/>
      <c r="G2941" s="1"/>
      <c r="H2941" s="1"/>
      <c r="K2941" s="9"/>
      <c r="L2941" s="9"/>
      <c r="M2941" s="9"/>
    </row>
    <row r="2942" spans="1:16" ht="15.75" customHeight="1" x14ac:dyDescent="0.35">
      <c r="B2942" s="20"/>
      <c r="G2942" s="1"/>
      <c r="H2942" s="1"/>
      <c r="K2942" s="9" t="s">
        <v>254</v>
      </c>
      <c r="L2942" s="9"/>
      <c r="M2942" s="9"/>
    </row>
    <row r="2943" spans="1:16" ht="15.75" customHeight="1" x14ac:dyDescent="0.35">
      <c r="B2943" s="9"/>
      <c r="C2943" s="9"/>
      <c r="D2943" s="9"/>
      <c r="E2943" s="9"/>
      <c r="F2943" s="12"/>
      <c r="G2943" s="12"/>
      <c r="H2943" s="12"/>
      <c r="I2943" s="12"/>
      <c r="J2943" s="12"/>
      <c r="K2943" s="12"/>
      <c r="L2943" s="1"/>
    </row>
    <row r="2944" spans="1:16" ht="15.75" customHeight="1" x14ac:dyDescent="0.35">
      <c r="B2944" s="13"/>
      <c r="C2944" s="13"/>
      <c r="D2944" s="15"/>
      <c r="F2944" s="13"/>
      <c r="H2944" s="14" t="s">
        <v>255</v>
      </c>
      <c r="I2944" s="14"/>
    </row>
    <row r="2945" spans="1:16" x14ac:dyDescent="0.35">
      <c r="B2945" s="13" t="s">
        <v>5</v>
      </c>
      <c r="C2945" s="13" t="s">
        <v>1</v>
      </c>
      <c r="D2945" s="15" t="str">
        <f>VLOOKUP(A2946,Inventory!$A$4:$K$1139,7)</f>
        <v xml:space="preserve">Sweet Marias                       </v>
      </c>
      <c r="F2945" s="13" t="s">
        <v>235</v>
      </c>
      <c r="G2945" s="16"/>
      <c r="H2945" s="14" t="s">
        <v>256</v>
      </c>
      <c r="L2945" s="17"/>
      <c r="M2945" s="17"/>
    </row>
    <row r="2946" spans="1:16" x14ac:dyDescent="0.35">
      <c r="A2946">
        <v>156</v>
      </c>
      <c r="B2946" s="5">
        <v>44245</v>
      </c>
      <c r="C2946" s="15" t="str">
        <f>VLOOKUP(A2946,Inventory!$A$4:$K$1139,2)</f>
        <v>Rwanda Nyamasheke 2020 SWP Decaf</v>
      </c>
      <c r="F2946" s="18" t="s">
        <v>257</v>
      </c>
      <c r="G2946" s="2" t="s">
        <v>238</v>
      </c>
      <c r="L2946" s="17"/>
      <c r="M2946" s="17"/>
      <c r="P2946" s="8"/>
    </row>
    <row r="2947" spans="1:16" x14ac:dyDescent="0.35">
      <c r="K2947" s="12" t="s">
        <v>384</v>
      </c>
      <c r="L2947" s="54"/>
      <c r="M2947" s="9"/>
    </row>
    <row r="2948" spans="1:16" x14ac:dyDescent="0.35">
      <c r="C2948" s="11" t="s">
        <v>240</v>
      </c>
      <c r="D2948" s="11" t="s">
        <v>241</v>
      </c>
      <c r="E2948" s="11" t="s">
        <v>462</v>
      </c>
      <c r="F2948" s="11">
        <v>382</v>
      </c>
      <c r="G2948" s="11">
        <v>390</v>
      </c>
      <c r="H2948" s="11">
        <v>396</v>
      </c>
      <c r="I2948" s="11">
        <v>402</v>
      </c>
      <c r="J2948" s="11"/>
      <c r="K2948" s="11"/>
      <c r="L2948" s="11"/>
    </row>
    <row r="2949" spans="1:16" ht="15.75" customHeight="1" x14ac:dyDescent="0.35">
      <c r="B2949" s="20" t="s">
        <v>242</v>
      </c>
      <c r="C2949" s="30"/>
      <c r="D2949" s="30"/>
      <c r="E2949" s="23" t="s">
        <v>244</v>
      </c>
      <c r="F2949" s="23" t="s">
        <v>245</v>
      </c>
      <c r="G2949" s="23" t="s">
        <v>246</v>
      </c>
      <c r="H2949" s="23" t="s">
        <v>247</v>
      </c>
      <c r="I2949" s="23" t="s">
        <v>259</v>
      </c>
      <c r="J2949" s="23" t="s">
        <v>260</v>
      </c>
      <c r="K2949" s="23" t="s">
        <v>261</v>
      </c>
      <c r="O2949" s="4"/>
    </row>
    <row r="2950" spans="1:16" ht="1" customHeight="1" x14ac:dyDescent="0.35">
      <c r="B2950" s="24" t="s">
        <v>249</v>
      </c>
      <c r="C2950" s="25">
        <v>320</v>
      </c>
      <c r="D2950" s="25">
        <v>350</v>
      </c>
      <c r="E2950" s="25">
        <v>377</v>
      </c>
      <c r="F2950" s="25">
        <v>384</v>
      </c>
      <c r="G2950" s="25">
        <v>388</v>
      </c>
      <c r="H2950" s="25">
        <v>392</v>
      </c>
      <c r="I2950" s="25">
        <v>395</v>
      </c>
      <c r="J2950" s="25">
        <v>415</v>
      </c>
      <c r="K2950" s="25">
        <v>415</v>
      </c>
      <c r="O2950" t="e">
        <f>(O2948-3*O2947)/O2949</f>
        <v>#DIV/0!</v>
      </c>
    </row>
    <row r="2951" spans="1:16" ht="15.75" customHeight="1" x14ac:dyDescent="0.35">
      <c r="B2951" s="20" t="s">
        <v>250</v>
      </c>
      <c r="C2951" s="26">
        <v>0.23958333333333334</v>
      </c>
      <c r="D2951" s="26">
        <v>0.3263888888888889</v>
      </c>
      <c r="E2951" s="26">
        <v>0.46180555555555558</v>
      </c>
      <c r="F2951" s="26">
        <f>E2951+'Lookup Tables'!$N$1</f>
        <v>0.4826388888888889</v>
      </c>
      <c r="G2951" s="26">
        <f>F2951+'Lookup Tables'!$N$1</f>
        <v>0.50347222222222221</v>
      </c>
      <c r="H2951" s="26">
        <f>G2951+'Lookup Tables'!$N$1</f>
        <v>0.52430555555555558</v>
      </c>
      <c r="I2951" s="26">
        <f>H2951+'Lookup Tables'!$N$1</f>
        <v>0.54513888888888895</v>
      </c>
      <c r="J2951" s="26">
        <f>I2951+'Lookup Tables'!$M$1</f>
        <v>0.55555555555555558</v>
      </c>
      <c r="K2951" s="26">
        <f>J2951+'Lookup Tables'!$M$1</f>
        <v>0.56597222222222221</v>
      </c>
      <c r="N2951">
        <f>MAX(F2948:M2948)-O2951</f>
        <v>25</v>
      </c>
      <c r="O2951" t="str">
        <f>RIGHT(E2948,3)</f>
        <v>377</v>
      </c>
    </row>
    <row r="2952" spans="1:16" ht="15.75" customHeight="1" x14ac:dyDescent="0.35">
      <c r="B2952" s="20" t="s">
        <v>251</v>
      </c>
      <c r="C2952" s="27">
        <v>0.2</v>
      </c>
      <c r="D2952" s="27">
        <v>0.5</v>
      </c>
      <c r="E2952" s="27"/>
      <c r="F2952" s="27"/>
      <c r="G2952" s="27"/>
      <c r="H2952" s="27"/>
      <c r="I2952" s="27"/>
      <c r="J2952" s="27"/>
      <c r="K2952" s="25"/>
      <c r="N2952" t="str">
        <f xml:space="preserve">  N2951 &amp; " degrees this time"</f>
        <v>25 degrees this time</v>
      </c>
    </row>
    <row r="2953" spans="1:16" ht="15.75" customHeight="1" x14ac:dyDescent="0.35">
      <c r="B2953" s="20" t="s">
        <v>252</v>
      </c>
      <c r="C2953" s="27">
        <v>0.9</v>
      </c>
      <c r="D2953" s="27">
        <v>0.7</v>
      </c>
      <c r="E2953" s="27">
        <v>0.6</v>
      </c>
      <c r="F2953" s="27"/>
      <c r="G2953" s="27"/>
      <c r="H2953" s="27"/>
      <c r="I2953" s="27"/>
      <c r="J2953" s="27"/>
      <c r="K2953" s="27"/>
    </row>
    <row r="2954" spans="1:16" ht="15.75" customHeight="1" x14ac:dyDescent="0.35">
      <c r="B2954" s="20"/>
      <c r="D2954" s="11"/>
      <c r="E2954" s="11"/>
      <c r="F2954" s="28"/>
      <c r="H2954" s="1"/>
    </row>
    <row r="2955" spans="1:16" ht="15.75" customHeight="1" x14ac:dyDescent="0.35">
      <c r="B2955" s="1" t="s">
        <v>385</v>
      </c>
      <c r="F2955" t="s">
        <v>263</v>
      </c>
      <c r="G2955" s="1"/>
      <c r="K2955" s="9"/>
      <c r="L2955" s="9"/>
      <c r="M2955" s="9"/>
    </row>
    <row r="2956" spans="1:16" ht="15.75" customHeight="1" x14ac:dyDescent="0.35">
      <c r="B2956" s="20" t="s">
        <v>264</v>
      </c>
      <c r="D2956" s="29"/>
      <c r="F2956" t="s">
        <v>265</v>
      </c>
      <c r="G2956" s="1"/>
      <c r="H2956" s="1"/>
      <c r="K2956" s="9" t="s">
        <v>386</v>
      </c>
      <c r="L2956" s="9"/>
      <c r="M2956" s="9"/>
    </row>
    <row r="2957" spans="1:16" ht="15.75" customHeight="1" x14ac:dyDescent="0.35">
      <c r="B2957" s="20" t="s">
        <v>267</v>
      </c>
      <c r="F2957" t="s">
        <v>268</v>
      </c>
      <c r="G2957" s="1"/>
      <c r="H2957" s="1"/>
      <c r="K2957" s="9" t="s">
        <v>254</v>
      </c>
      <c r="L2957" s="9"/>
      <c r="M2957" s="9"/>
    </row>
    <row r="2958" spans="1:16" ht="15.75" customHeight="1" x14ac:dyDescent="0.35">
      <c r="B2958" s="9"/>
      <c r="C2958" s="9"/>
      <c r="D2958" s="9"/>
      <c r="E2958" s="9"/>
      <c r="F2958" s="12"/>
      <c r="G2958" s="12"/>
      <c r="H2958" s="12"/>
      <c r="I2958" s="12"/>
      <c r="J2958" s="12"/>
      <c r="K2958" s="12"/>
      <c r="L2958" s="1"/>
    </row>
    <row r="2959" spans="1:16" ht="15.75" customHeight="1" x14ac:dyDescent="0.35">
      <c r="B2959" s="13"/>
      <c r="C2959" s="13"/>
      <c r="D2959" s="15"/>
    </row>
    <row r="2960" spans="1:16" x14ac:dyDescent="0.35">
      <c r="B2960" s="13" t="s">
        <v>5</v>
      </c>
      <c r="C2960" s="13" t="s">
        <v>1</v>
      </c>
      <c r="D2960" s="15" t="e">
        <f>VLOOKUP(A2961,Inventory!$A$4:$K$1139,7)</f>
        <v>#N/A</v>
      </c>
      <c r="F2960" s="13" t="s">
        <v>235</v>
      </c>
      <c r="G2960" s="16"/>
      <c r="L2960" s="17"/>
      <c r="M2960" s="17"/>
    </row>
    <row r="2961" spans="1:16" x14ac:dyDescent="0.35">
      <c r="A2961">
        <v>0</v>
      </c>
      <c r="B2961" s="5">
        <v>44248</v>
      </c>
      <c r="C2961" s="15" t="s">
        <v>463</v>
      </c>
      <c r="E2961" s="11"/>
      <c r="F2961" s="57" t="s">
        <v>464</v>
      </c>
      <c r="G2961" s="2" t="s">
        <v>270</v>
      </c>
      <c r="I2961" s="58" t="s">
        <v>465</v>
      </c>
      <c r="J2961" s="59"/>
      <c r="K2961" s="58"/>
      <c r="L2961" s="60"/>
      <c r="M2961" s="17"/>
      <c r="P2961" s="8"/>
    </row>
    <row r="2962" spans="1:16" x14ac:dyDescent="0.35">
      <c r="B2962" s="13"/>
      <c r="C2962" s="13"/>
      <c r="D2962" s="11"/>
      <c r="F2962" s="13"/>
      <c r="G2962" s="16"/>
      <c r="K2962" s="1"/>
      <c r="L2962" s="19"/>
      <c r="M2962" s="19"/>
    </row>
    <row r="2963" spans="1:16" x14ac:dyDescent="0.35">
      <c r="B2963" s="20"/>
      <c r="C2963" s="11" t="s">
        <v>240</v>
      </c>
      <c r="D2963" s="11" t="s">
        <v>301</v>
      </c>
      <c r="E2963" s="11" t="s">
        <v>426</v>
      </c>
      <c r="F2963" s="11">
        <v>379</v>
      </c>
      <c r="G2963" s="11">
        <v>387</v>
      </c>
      <c r="H2963" s="11">
        <v>394</v>
      </c>
      <c r="I2963" s="11" t="s">
        <v>466</v>
      </c>
      <c r="J2963" s="11"/>
      <c r="K2963" s="11"/>
      <c r="L2963" s="11"/>
    </row>
    <row r="2964" spans="1:16" ht="15.75" customHeight="1" x14ac:dyDescent="0.35">
      <c r="B2964" s="20" t="s">
        <v>242</v>
      </c>
      <c r="C2964" s="21"/>
      <c r="D2964" s="22" t="s">
        <v>294</v>
      </c>
      <c r="E2964" s="23" t="s">
        <v>244</v>
      </c>
      <c r="F2964" s="23" t="s">
        <v>245</v>
      </c>
      <c r="G2964" s="23" t="s">
        <v>246</v>
      </c>
      <c r="H2964" s="23" t="s">
        <v>247</v>
      </c>
      <c r="I2964" s="23" t="s">
        <v>259</v>
      </c>
      <c r="J2964" s="23" t="s">
        <v>260</v>
      </c>
      <c r="O2964" s="4"/>
    </row>
    <row r="2965" spans="1:16" ht="1" customHeight="1" x14ac:dyDescent="0.35">
      <c r="B2965" s="24" t="s">
        <v>249</v>
      </c>
      <c r="C2965" s="25"/>
      <c r="D2965" s="25"/>
      <c r="E2965" s="25"/>
      <c r="F2965" s="25"/>
      <c r="G2965" s="25"/>
      <c r="H2965" s="25"/>
      <c r="I2965" s="25"/>
      <c r="J2965" s="25"/>
      <c r="O2965" t="e">
        <f>(O2963-3*O2962)/O2964</f>
        <v>#DIV/0!</v>
      </c>
    </row>
    <row r="2966" spans="1:16" ht="15.75" customHeight="1" x14ac:dyDescent="0.35">
      <c r="B2966" s="20" t="s">
        <v>250</v>
      </c>
      <c r="C2966" s="26">
        <v>0.23263888888888887</v>
      </c>
      <c r="D2966" s="26">
        <v>0.30902777777777779</v>
      </c>
      <c r="E2966" s="26">
        <v>0.3888888888888889</v>
      </c>
      <c r="F2966" s="26">
        <f>E2966+'Lookup Tables'!$N$1</f>
        <v>0.40972222222222221</v>
      </c>
      <c r="G2966" s="26">
        <f>F2966+'Lookup Tables'!$N$1</f>
        <v>0.43055555555555552</v>
      </c>
      <c r="H2966" s="26">
        <f>G2966+'Lookup Tables'!$N$1</f>
        <v>0.45138888888888884</v>
      </c>
      <c r="I2966" s="26">
        <f>H2966+'Lookup Tables'!$N$1</f>
        <v>0.47222222222222215</v>
      </c>
      <c r="J2966" s="26">
        <f>I2966+'Lookup Tables'!$S$1</f>
        <v>0.48263888888888884</v>
      </c>
      <c r="N2966">
        <f>MAX(F2963:M2963)-O2966</f>
        <v>24</v>
      </c>
      <c r="O2966" t="str">
        <f>RIGHT(E2963,3)</f>
        <v>370</v>
      </c>
    </row>
    <row r="2967" spans="1:16" ht="15.75" customHeight="1" x14ac:dyDescent="0.35">
      <c r="B2967" s="20" t="s">
        <v>251</v>
      </c>
      <c r="C2967" s="27">
        <v>0.2</v>
      </c>
      <c r="D2967" s="27">
        <v>0.5</v>
      </c>
      <c r="E2967" s="27"/>
      <c r="F2967" s="27"/>
      <c r="G2967" s="27"/>
      <c r="H2967" s="27"/>
      <c r="I2967" s="27"/>
      <c r="J2967" s="27"/>
      <c r="N2967" t="str">
        <f xml:space="preserve">  N2966 &amp; " degrees this time"</f>
        <v>24 degrees this time</v>
      </c>
    </row>
    <row r="2968" spans="1:16" ht="15.75" customHeight="1" x14ac:dyDescent="0.35">
      <c r="B2968" s="20" t="s">
        <v>252</v>
      </c>
      <c r="C2968" s="27">
        <v>0.9</v>
      </c>
      <c r="D2968" s="27">
        <v>0.7</v>
      </c>
      <c r="E2968" s="27">
        <v>0.4</v>
      </c>
      <c r="F2968" s="27" t="s">
        <v>274</v>
      </c>
      <c r="G2968" s="27"/>
      <c r="H2968" s="27"/>
      <c r="I2968" s="27"/>
      <c r="J2968" s="27"/>
    </row>
    <row r="2969" spans="1:16" ht="15.75" customHeight="1" x14ac:dyDescent="0.35">
      <c r="B2969" s="20"/>
      <c r="D2969" s="11"/>
      <c r="E2969" s="11"/>
      <c r="F2969" s="11"/>
      <c r="G2969" s="11"/>
      <c r="H2969" s="11"/>
      <c r="I2969" s="11"/>
      <c r="J2969" s="37"/>
      <c r="K2969" s="37"/>
      <c r="L2969" s="35"/>
    </row>
    <row r="2970" spans="1:16" ht="15.75" customHeight="1" x14ac:dyDescent="0.35">
      <c r="B2970" s="38"/>
      <c r="E2970" s="11"/>
      <c r="G2970" s="1" t="s">
        <v>317</v>
      </c>
      <c r="H2970" s="1"/>
      <c r="K2970" s="32"/>
      <c r="L2970" s="9"/>
      <c r="M2970" s="9"/>
    </row>
    <row r="2971" spans="1:16" ht="15.75" customHeight="1" x14ac:dyDescent="0.35">
      <c r="B2971" s="20"/>
      <c r="G2971" s="1"/>
      <c r="H2971" s="1"/>
      <c r="K2971" s="32"/>
      <c r="L2971" s="9"/>
      <c r="M2971" s="9"/>
    </row>
    <row r="2972" spans="1:16" ht="15.75" customHeight="1" x14ac:dyDescent="0.35">
      <c r="B2972" s="20"/>
      <c r="G2972" s="1"/>
      <c r="H2972" s="1"/>
      <c r="K2972" s="9" t="s">
        <v>300</v>
      </c>
      <c r="L2972" s="9"/>
      <c r="M2972" s="9"/>
    </row>
    <row r="2973" spans="1:16" ht="15.75" customHeight="1" x14ac:dyDescent="0.35">
      <c r="B2973" s="9"/>
      <c r="C2973" s="9"/>
      <c r="D2973" s="9"/>
      <c r="E2973" s="9"/>
      <c r="F2973" s="12"/>
      <c r="G2973" s="12"/>
      <c r="H2973" s="12"/>
      <c r="I2973" s="12"/>
      <c r="J2973" s="12"/>
      <c r="K2973" s="12"/>
      <c r="L2973" s="1"/>
    </row>
    <row r="2974" spans="1:16" ht="15.75" customHeight="1" x14ac:dyDescent="0.35">
      <c r="B2974" s="13"/>
      <c r="C2974" s="13"/>
      <c r="D2974" s="15"/>
      <c r="F2974" s="33" t="s">
        <v>305</v>
      </c>
      <c r="G2974" s="13"/>
      <c r="H2974" s="14" t="s">
        <v>255</v>
      </c>
      <c r="I2974" s="13"/>
      <c r="J2974" s="1"/>
    </row>
    <row r="2975" spans="1:16" x14ac:dyDescent="0.35">
      <c r="B2975" s="13" t="s">
        <v>5</v>
      </c>
      <c r="C2975" s="13" t="s">
        <v>1</v>
      </c>
      <c r="D2975" s="15" t="str">
        <f>VLOOKUP(A2976,Inventory!$A$4:$K$1139,7)</f>
        <v xml:space="preserve">Klatch                             </v>
      </c>
      <c r="F2975" s="13" t="s">
        <v>235</v>
      </c>
      <c r="G2975" s="16"/>
      <c r="L2975" s="17"/>
      <c r="M2975" s="17"/>
    </row>
    <row r="2976" spans="1:16" x14ac:dyDescent="0.35">
      <c r="A2976">
        <v>163</v>
      </c>
      <c r="B2976" s="5">
        <v>44248</v>
      </c>
      <c r="C2976" s="15" t="str">
        <f>VLOOKUP(A2976,Inventory!$A$4:$K$1139,2)</f>
        <v>Guatemala Antigua Hunapu Micro Lot 2020</v>
      </c>
      <c r="E2976" s="11"/>
      <c r="F2976" s="31" t="s">
        <v>291</v>
      </c>
      <c r="G2976" s="2" t="s">
        <v>286</v>
      </c>
      <c r="L2976" s="17"/>
      <c r="M2976" s="17"/>
      <c r="P2976" s="8"/>
    </row>
    <row r="2977" spans="1:16" x14ac:dyDescent="0.35">
      <c r="B2977" s="13"/>
      <c r="C2977" s="13"/>
      <c r="D2977" s="11"/>
      <c r="F2977" s="13"/>
      <c r="G2977" s="16"/>
      <c r="I2977" s="1"/>
      <c r="L2977" s="19"/>
      <c r="M2977" s="19"/>
    </row>
    <row r="2978" spans="1:16" x14ac:dyDescent="0.35">
      <c r="B2978" s="20"/>
      <c r="C2978" s="11" t="s">
        <v>240</v>
      </c>
      <c r="D2978" s="11" t="s">
        <v>241</v>
      </c>
      <c r="E2978" s="11" t="s">
        <v>319</v>
      </c>
      <c r="F2978" s="11">
        <v>381</v>
      </c>
      <c r="G2978" s="11">
        <v>388</v>
      </c>
      <c r="H2978" s="11">
        <v>398</v>
      </c>
      <c r="I2978" s="11"/>
      <c r="J2978" s="11"/>
      <c r="K2978" s="11"/>
      <c r="L2978" s="11"/>
    </row>
    <row r="2979" spans="1:16" ht="15.75" customHeight="1" x14ac:dyDescent="0.35">
      <c r="B2979" s="20" t="s">
        <v>242</v>
      </c>
      <c r="C2979" s="30"/>
      <c r="D2979" s="30"/>
      <c r="E2979" s="23" t="s">
        <v>244</v>
      </c>
      <c r="F2979" s="23" t="s">
        <v>245</v>
      </c>
      <c r="G2979" s="23" t="s">
        <v>246</v>
      </c>
      <c r="H2979" s="23" t="s">
        <v>247</v>
      </c>
      <c r="O2979" s="4"/>
    </row>
    <row r="2980" spans="1:16" ht="1" customHeight="1" x14ac:dyDescent="0.35">
      <c r="B2980" s="24" t="s">
        <v>249</v>
      </c>
      <c r="C2980" s="25"/>
      <c r="D2980" s="25"/>
      <c r="E2980" s="25"/>
      <c r="F2980" s="25"/>
      <c r="G2980" s="25"/>
      <c r="H2980" s="25"/>
      <c r="O2980" t="e">
        <f>(O2978-3*O2977)/O2979</f>
        <v>#DIV/0!</v>
      </c>
    </row>
    <row r="2981" spans="1:16" ht="15.75" customHeight="1" x14ac:dyDescent="0.35">
      <c r="B2981" s="20" t="s">
        <v>250</v>
      </c>
      <c r="C2981" s="26">
        <v>0.18055555555555555</v>
      </c>
      <c r="D2981" s="26">
        <v>0.25347222222222221</v>
      </c>
      <c r="E2981" s="26">
        <v>0.34027777777777773</v>
      </c>
      <c r="F2981" s="26">
        <f>E2981+'Lookup Tables'!$N$1</f>
        <v>0.36111111111111105</v>
      </c>
      <c r="G2981" s="26">
        <f>F2981+'Lookup Tables'!$N$1</f>
        <v>0.38194444444444436</v>
      </c>
      <c r="H2981" s="26">
        <f>G2981+'Lookup Tables'!$N$1</f>
        <v>0.40277777777777768</v>
      </c>
      <c r="N2981">
        <f>MAX(F2978:M2978)-O2981</f>
        <v>25</v>
      </c>
      <c r="O2981" t="str">
        <f>RIGHT(E2978,3)</f>
        <v>373</v>
      </c>
    </row>
    <row r="2982" spans="1:16" ht="15.75" customHeight="1" x14ac:dyDescent="0.35">
      <c r="B2982" s="20" t="s">
        <v>251</v>
      </c>
      <c r="C2982" s="27">
        <v>0.2</v>
      </c>
      <c r="D2982" s="27">
        <v>0.5</v>
      </c>
      <c r="E2982" s="27"/>
      <c r="F2982" s="27"/>
      <c r="G2982" s="27"/>
      <c r="H2982" s="27"/>
      <c r="N2982" t="str">
        <f xml:space="preserve">  N2981 &amp; " degrees this time"</f>
        <v>25 degrees this time</v>
      </c>
    </row>
    <row r="2983" spans="1:16" ht="15.75" customHeight="1" x14ac:dyDescent="0.35">
      <c r="B2983" s="20" t="s">
        <v>252</v>
      </c>
      <c r="C2983" s="27">
        <v>0.9</v>
      </c>
      <c r="D2983" s="27">
        <v>0.9</v>
      </c>
      <c r="E2983" s="27">
        <v>0.8</v>
      </c>
      <c r="F2983" s="27"/>
      <c r="G2983" s="27">
        <v>0.6</v>
      </c>
      <c r="H2983" s="27" t="s">
        <v>275</v>
      </c>
    </row>
    <row r="2984" spans="1:16" ht="15.75" customHeight="1" x14ac:dyDescent="0.35">
      <c r="B2984" s="20"/>
      <c r="D2984" s="11"/>
      <c r="E2984" s="11"/>
      <c r="F2984" s="11"/>
      <c r="G2984" s="40"/>
      <c r="H2984" s="11"/>
      <c r="I2984" s="11"/>
      <c r="J2984" s="37"/>
      <c r="K2984" s="32" t="s">
        <v>467</v>
      </c>
      <c r="L2984" s="9"/>
      <c r="M2984" s="9"/>
    </row>
    <row r="2985" spans="1:16" ht="15.75" customHeight="1" x14ac:dyDescent="0.35">
      <c r="B2985" s="38"/>
      <c r="G2985" s="1" t="s">
        <v>307</v>
      </c>
      <c r="H2985" s="1"/>
      <c r="K2985" s="32" t="s">
        <v>468</v>
      </c>
      <c r="L2985" s="9"/>
      <c r="M2985" s="9"/>
    </row>
    <row r="2986" spans="1:16" ht="15.75" customHeight="1" x14ac:dyDescent="0.35">
      <c r="B2986" s="20"/>
      <c r="G2986" s="1"/>
      <c r="H2986" s="1"/>
      <c r="K2986" s="32"/>
      <c r="L2986" s="9"/>
      <c r="M2986" s="9"/>
    </row>
    <row r="2987" spans="1:16" ht="15.75" customHeight="1" x14ac:dyDescent="0.35">
      <c r="B2987" s="20"/>
      <c r="G2987" s="1"/>
      <c r="H2987" s="1"/>
      <c r="K2987" s="9" t="s">
        <v>300</v>
      </c>
      <c r="L2987" s="9"/>
      <c r="M2987" s="9"/>
    </row>
    <row r="2988" spans="1:16" ht="15.75" customHeight="1" x14ac:dyDescent="0.35">
      <c r="B2988" s="9"/>
      <c r="C2988" s="9"/>
      <c r="D2988" s="9"/>
      <c r="E2988" s="9"/>
      <c r="F2988" s="12"/>
      <c r="G2988" s="12"/>
      <c r="H2988" s="12"/>
      <c r="I2988" s="12"/>
      <c r="J2988" s="12"/>
      <c r="K2988" s="12"/>
      <c r="L2988" s="1"/>
    </row>
    <row r="2989" spans="1:16" ht="15.75" customHeight="1" x14ac:dyDescent="0.35">
      <c r="B2989" s="13"/>
      <c r="C2989" s="13"/>
      <c r="D2989" s="13"/>
      <c r="E2989" s="13"/>
      <c r="F2989" s="33" t="s">
        <v>305</v>
      </c>
      <c r="G2989" s="13"/>
      <c r="I2989" s="13"/>
    </row>
    <row r="2990" spans="1:16" x14ac:dyDescent="0.35">
      <c r="B2990" s="13" t="s">
        <v>5</v>
      </c>
      <c r="C2990" s="13" t="s">
        <v>1</v>
      </c>
      <c r="D2990" s="15" t="str">
        <f>VLOOKUP(A2991,Inventory!$A$4:$K$1139,7)</f>
        <v xml:space="preserve">Klatch                             </v>
      </c>
      <c r="F2990" s="13" t="s">
        <v>235</v>
      </c>
      <c r="G2990" s="16"/>
      <c r="L2990" s="17"/>
      <c r="M2990" s="17"/>
    </row>
    <row r="2991" spans="1:16" x14ac:dyDescent="0.35">
      <c r="A2991">
        <v>161</v>
      </c>
      <c r="B2991" s="5">
        <v>44248</v>
      </c>
      <c r="C2991" s="15" t="str">
        <f>VLOOKUP(A2991,Inventory!$A$4:$K$1139,2)</f>
        <v>Colombia Nariño Organic 2020</v>
      </c>
      <c r="E2991" s="11"/>
      <c r="F2991" s="34" t="s">
        <v>279</v>
      </c>
      <c r="G2991" s="2" t="s">
        <v>286</v>
      </c>
      <c r="L2991" s="17"/>
      <c r="M2991" s="17"/>
      <c r="P2991" s="8"/>
    </row>
    <row r="2992" spans="1:16" x14ac:dyDescent="0.35">
      <c r="D2992" s="11"/>
      <c r="E2992" s="11"/>
      <c r="G2992" s="16"/>
      <c r="L2992" s="19"/>
      <c r="M2992" s="19"/>
    </row>
    <row r="2993" spans="1:16" x14ac:dyDescent="0.35">
      <c r="B2993" s="20"/>
      <c r="C2993" s="11" t="s">
        <v>240</v>
      </c>
      <c r="D2993" s="11" t="s">
        <v>272</v>
      </c>
      <c r="E2993" s="11" t="s">
        <v>430</v>
      </c>
      <c r="F2993" s="11">
        <v>374</v>
      </c>
      <c r="G2993" s="11">
        <v>382</v>
      </c>
      <c r="H2993" s="11">
        <v>390</v>
      </c>
      <c r="I2993" s="11">
        <v>394</v>
      </c>
      <c r="J2993" s="11"/>
      <c r="K2993" s="11"/>
      <c r="L2993" s="11"/>
    </row>
    <row r="2994" spans="1:16" ht="15.75" customHeight="1" x14ac:dyDescent="0.35">
      <c r="B2994" s="20" t="s">
        <v>242</v>
      </c>
      <c r="C2994" s="21"/>
      <c r="D2994" s="22" t="s">
        <v>294</v>
      </c>
      <c r="E2994" s="23" t="s">
        <v>244</v>
      </c>
      <c r="F2994" s="23" t="s">
        <v>245</v>
      </c>
      <c r="G2994" s="23" t="s">
        <v>246</v>
      </c>
      <c r="H2994" s="23" t="s">
        <v>247</v>
      </c>
      <c r="I2994" s="23" t="s">
        <v>248</v>
      </c>
      <c r="O2994" s="4"/>
    </row>
    <row r="2995" spans="1:16" ht="1" customHeight="1" x14ac:dyDescent="0.35">
      <c r="B2995" s="24" t="s">
        <v>249</v>
      </c>
      <c r="C2995" s="25"/>
      <c r="D2995" s="25"/>
      <c r="E2995" s="25"/>
      <c r="F2995" s="25"/>
      <c r="G2995" s="25"/>
      <c r="H2995" s="25"/>
      <c r="I2995" s="25"/>
      <c r="O2995" t="e">
        <f>(O2993-3*O2992)/O2994</f>
        <v>#DIV/0!</v>
      </c>
    </row>
    <row r="2996" spans="1:16" ht="15.75" customHeight="1" x14ac:dyDescent="0.35">
      <c r="B2996" s="20" t="s">
        <v>250</v>
      </c>
      <c r="C2996" s="26">
        <v>0.22569444444444445</v>
      </c>
      <c r="D2996" s="26">
        <v>0.32291666666666669</v>
      </c>
      <c r="E2996" s="26">
        <v>0.40625</v>
      </c>
      <c r="F2996" s="26">
        <f>E2996+'Lookup Tables'!$N$1</f>
        <v>0.42708333333333331</v>
      </c>
      <c r="G2996" s="26">
        <f>F2996+'Lookup Tables'!$N$1</f>
        <v>0.44791666666666663</v>
      </c>
      <c r="H2996" s="26">
        <f>G2996+'Lookup Tables'!$N$1</f>
        <v>0.46874999999999994</v>
      </c>
      <c r="I2996" s="26">
        <f>H2996+'Lookup Tables'!$S$1</f>
        <v>0.47916666666666663</v>
      </c>
      <c r="N2996">
        <f>MAX(F2993:M2993)-O2996</f>
        <v>26</v>
      </c>
      <c r="O2996" t="str">
        <f>RIGHT(E2993,3)</f>
        <v>368</v>
      </c>
    </row>
    <row r="2997" spans="1:16" ht="15.75" customHeight="1" x14ac:dyDescent="0.35">
      <c r="B2997" s="20" t="s">
        <v>251</v>
      </c>
      <c r="C2997" s="27">
        <v>0.2</v>
      </c>
      <c r="D2997" s="27">
        <v>0.5</v>
      </c>
      <c r="E2997" s="27"/>
      <c r="F2997" s="27"/>
      <c r="G2997" s="27"/>
      <c r="H2997" s="27"/>
      <c r="I2997" s="25"/>
      <c r="N2997" t="str">
        <f xml:space="preserve">  N2996 &amp; " degrees this time"</f>
        <v>26 degrees this time</v>
      </c>
    </row>
    <row r="2998" spans="1:16" ht="15.75" customHeight="1" x14ac:dyDescent="0.35">
      <c r="B2998" s="20" t="s">
        <v>252</v>
      </c>
      <c r="C2998" s="27">
        <v>0.9</v>
      </c>
      <c r="D2998" s="27">
        <v>0.8</v>
      </c>
      <c r="E2998" s="27">
        <v>0.7</v>
      </c>
      <c r="F2998" s="27"/>
      <c r="G2998" s="27"/>
      <c r="H2998" s="27"/>
      <c r="I2998" s="27" t="s">
        <v>275</v>
      </c>
    </row>
    <row r="2999" spans="1:16" ht="15.75" customHeight="1" x14ac:dyDescent="0.35">
      <c r="B2999" s="20"/>
      <c r="D2999" s="11"/>
      <c r="E2999" s="11"/>
      <c r="F2999" s="11"/>
      <c r="G2999" s="11"/>
      <c r="H2999" s="35"/>
    </row>
    <row r="3000" spans="1:16" ht="15.75" customHeight="1" x14ac:dyDescent="0.35">
      <c r="B3000" s="20"/>
      <c r="G3000" s="1" t="s">
        <v>331</v>
      </c>
      <c r="K3000" s="32" t="s">
        <v>332</v>
      </c>
      <c r="L3000" s="9"/>
      <c r="M3000" s="9"/>
    </row>
    <row r="3001" spans="1:16" ht="15.75" customHeight="1" x14ac:dyDescent="0.35">
      <c r="B3001" s="30"/>
      <c r="G3001" s="1"/>
      <c r="H3001" s="1"/>
      <c r="K3001" s="9"/>
      <c r="L3001" s="9"/>
      <c r="M3001" s="9"/>
    </row>
    <row r="3002" spans="1:16" ht="15.75" customHeight="1" x14ac:dyDescent="0.35">
      <c r="B3002" s="30"/>
      <c r="G3002" s="1"/>
      <c r="H3002" s="1"/>
      <c r="K3002" s="9" t="s">
        <v>300</v>
      </c>
      <c r="L3002" s="9"/>
      <c r="M3002" s="9"/>
    </row>
    <row r="3003" spans="1:16" ht="15.75" customHeight="1" x14ac:dyDescent="0.35">
      <c r="B3003" s="9"/>
      <c r="C3003" s="9"/>
      <c r="D3003" s="9"/>
      <c r="E3003" s="9"/>
      <c r="F3003" s="12"/>
      <c r="G3003" s="12"/>
      <c r="H3003" s="12"/>
      <c r="I3003" s="12"/>
      <c r="J3003" s="12"/>
      <c r="K3003" s="12"/>
      <c r="L3003" s="1"/>
    </row>
    <row r="3004" spans="1:16" ht="15.75" customHeight="1" x14ac:dyDescent="0.35">
      <c r="B3004" s="13"/>
      <c r="C3004" s="13"/>
      <c r="D3004" s="13"/>
      <c r="E3004" s="13"/>
      <c r="F3004" s="13"/>
      <c r="G3004" s="13"/>
      <c r="H3004" s="13"/>
      <c r="I3004" s="13"/>
    </row>
    <row r="3005" spans="1:16" x14ac:dyDescent="0.35">
      <c r="B3005" s="13" t="s">
        <v>5</v>
      </c>
      <c r="C3005" s="13" t="s">
        <v>1</v>
      </c>
      <c r="D3005" s="15" t="str">
        <f>VLOOKUP(A3006,Inventory!$A$4:$K$1139,7)</f>
        <v>Coffee Bean corral</v>
      </c>
      <c r="F3005" s="13" t="s">
        <v>235</v>
      </c>
      <c r="G3005" s="16"/>
      <c r="L3005" s="17"/>
      <c r="M3005" s="17"/>
    </row>
    <row r="3006" spans="1:16" x14ac:dyDescent="0.35">
      <c r="A3006">
        <v>152</v>
      </c>
      <c r="B3006" s="5">
        <v>44234</v>
      </c>
      <c r="C3006" s="15" t="str">
        <f>VLOOKUP(A3006,Inventory!$A$4:$K$1139,2)</f>
        <v>Nicaragua Organic Jinotega Finca La Isabelia 2018</v>
      </c>
      <c r="E3006" s="11"/>
      <c r="F3006" s="34" t="s">
        <v>279</v>
      </c>
      <c r="G3006" s="2" t="s">
        <v>286</v>
      </c>
      <c r="L3006" s="17"/>
      <c r="M3006" s="17"/>
      <c r="P3006" s="8"/>
    </row>
    <row r="3007" spans="1:16" x14ac:dyDescent="0.35">
      <c r="D3007" s="11"/>
      <c r="E3007" s="11"/>
      <c r="G3007" s="16"/>
      <c r="L3007" s="19"/>
      <c r="M3007" s="19"/>
    </row>
    <row r="3008" spans="1:16" x14ac:dyDescent="0.35">
      <c r="B3008" s="20"/>
      <c r="C3008" s="11" t="s">
        <v>240</v>
      </c>
      <c r="D3008" s="11" t="s">
        <v>395</v>
      </c>
      <c r="E3008" s="11" t="s">
        <v>469</v>
      </c>
      <c r="F3008" s="11">
        <v>374</v>
      </c>
      <c r="G3008" s="11">
        <v>381</v>
      </c>
      <c r="H3008" s="11">
        <v>389</v>
      </c>
      <c r="I3008" s="11">
        <v>390</v>
      </c>
      <c r="J3008" s="11" t="s">
        <v>312</v>
      </c>
      <c r="K3008" s="28"/>
      <c r="L3008" s="28"/>
    </row>
    <row r="3009" spans="1:16" ht="15.75" customHeight="1" x14ac:dyDescent="0.35">
      <c r="B3009" s="20" t="s">
        <v>242</v>
      </c>
      <c r="C3009" s="21"/>
      <c r="D3009" s="22" t="s">
        <v>442</v>
      </c>
      <c r="E3009" s="23" t="s">
        <v>244</v>
      </c>
      <c r="F3009" s="23" t="s">
        <v>245</v>
      </c>
      <c r="G3009" s="23" t="s">
        <v>246</v>
      </c>
      <c r="H3009" s="23" t="s">
        <v>247</v>
      </c>
      <c r="O3009" s="4"/>
    </row>
    <row r="3010" spans="1:16" ht="1" customHeight="1" x14ac:dyDescent="0.35">
      <c r="B3010" s="24" t="s">
        <v>249</v>
      </c>
      <c r="C3010" s="25"/>
      <c r="D3010" s="25"/>
      <c r="E3010" s="25"/>
      <c r="F3010" s="25"/>
      <c r="G3010" s="25"/>
      <c r="H3010" s="25"/>
      <c r="O3010" t="e">
        <f>(O3008-3*O3007)/O3009</f>
        <v>#DIV/0!</v>
      </c>
    </row>
    <row r="3011" spans="1:16" ht="15.75" customHeight="1" x14ac:dyDescent="0.35">
      <c r="B3011" s="20" t="s">
        <v>250</v>
      </c>
      <c r="C3011" s="26">
        <v>0.24305555555555555</v>
      </c>
      <c r="D3011" s="26">
        <v>0.31597222222222221</v>
      </c>
      <c r="E3011" s="26">
        <v>0.42708333333333331</v>
      </c>
      <c r="F3011" s="26">
        <f>E3011+'Lookup Tables'!$N$1</f>
        <v>0.44791666666666663</v>
      </c>
      <c r="G3011" s="26">
        <f>F3011+'Lookup Tables'!$N$1</f>
        <v>0.46874999999999994</v>
      </c>
      <c r="H3011" s="26">
        <f>G3011+'Lookup Tables'!$S$1</f>
        <v>0.47916666666666663</v>
      </c>
      <c r="I3011" s="11"/>
      <c r="J3011" s="11"/>
      <c r="K3011" s="11"/>
      <c r="N3011">
        <f>MAX(F3008:M3008)-O3011</f>
        <v>23</v>
      </c>
      <c r="O3011" t="str">
        <f>RIGHT(E3008,3)</f>
        <v>367</v>
      </c>
    </row>
    <row r="3012" spans="1:16" ht="15.75" customHeight="1" x14ac:dyDescent="0.35">
      <c r="B3012" s="20" t="s">
        <v>251</v>
      </c>
      <c r="C3012" s="27">
        <v>0.2</v>
      </c>
      <c r="D3012" s="27">
        <v>0.5</v>
      </c>
      <c r="E3012" s="27"/>
      <c r="F3012" s="27"/>
      <c r="G3012" s="27" t="s">
        <v>274</v>
      </c>
      <c r="H3012" s="27"/>
      <c r="N3012" t="str">
        <f xml:space="preserve">  N3011 &amp; " degrees this time"</f>
        <v>23 degrees this time</v>
      </c>
    </row>
    <row r="3013" spans="1:16" ht="15.75" customHeight="1" x14ac:dyDescent="0.35">
      <c r="B3013" s="20" t="s">
        <v>252</v>
      </c>
      <c r="C3013" s="27">
        <v>0.9</v>
      </c>
      <c r="D3013" s="27">
        <v>0.7</v>
      </c>
      <c r="E3013" s="27">
        <v>0.6</v>
      </c>
      <c r="F3013" s="27"/>
      <c r="G3013" s="27"/>
      <c r="H3013" s="27" t="s">
        <v>275</v>
      </c>
    </row>
    <row r="3014" spans="1:16" ht="15.75" customHeight="1" x14ac:dyDescent="0.35">
      <c r="B3014" s="20"/>
      <c r="D3014" s="11"/>
      <c r="E3014" s="11"/>
      <c r="F3014" s="11"/>
      <c r="H3014" s="55"/>
    </row>
    <row r="3015" spans="1:16" ht="15.75" customHeight="1" x14ac:dyDescent="0.35">
      <c r="B3015" s="20"/>
      <c r="G3015" s="1" t="s">
        <v>470</v>
      </c>
      <c r="K3015" s="32" t="s">
        <v>471</v>
      </c>
      <c r="L3015" s="9"/>
      <c r="M3015" s="9"/>
    </row>
    <row r="3016" spans="1:16" ht="15.75" customHeight="1" x14ac:dyDescent="0.35">
      <c r="B3016" s="30"/>
      <c r="G3016" s="1"/>
      <c r="H3016" s="1"/>
      <c r="K3016" s="32"/>
      <c r="L3016" s="9"/>
      <c r="M3016" s="9"/>
    </row>
    <row r="3017" spans="1:16" ht="15.75" customHeight="1" x14ac:dyDescent="0.35">
      <c r="B3017" s="30"/>
      <c r="G3017" s="1"/>
      <c r="H3017" s="1"/>
      <c r="K3017" s="32" t="s">
        <v>254</v>
      </c>
      <c r="L3017" s="9"/>
      <c r="M3017" s="9"/>
    </row>
    <row r="3018" spans="1:16" ht="15.75" customHeight="1" x14ac:dyDescent="0.35">
      <c r="B3018" s="9"/>
      <c r="C3018" s="9"/>
      <c r="D3018" s="9"/>
      <c r="E3018" s="9"/>
      <c r="F3018" s="12"/>
      <c r="G3018" s="12"/>
      <c r="H3018" s="12"/>
      <c r="I3018" s="12"/>
      <c r="J3018" s="12"/>
      <c r="K3018" s="12"/>
      <c r="L3018" s="1"/>
    </row>
    <row r="3019" spans="1:16" ht="15.75" customHeight="1" x14ac:dyDescent="0.35">
      <c r="B3019" s="13"/>
      <c r="C3019" s="13"/>
      <c r="D3019" s="13"/>
      <c r="E3019" s="13"/>
      <c r="F3019" s="13"/>
      <c r="G3019" s="13"/>
      <c r="H3019" s="14" t="s">
        <v>255</v>
      </c>
      <c r="I3019" s="13"/>
    </row>
    <row r="3020" spans="1:16" x14ac:dyDescent="0.35">
      <c r="B3020" s="13" t="s">
        <v>5</v>
      </c>
      <c r="C3020" s="13" t="s">
        <v>1</v>
      </c>
      <c r="D3020" s="15" t="str">
        <f>VLOOKUP(A3021,Inventory!$A$4:$K$1139,7)</f>
        <v xml:space="preserve">Klatch                             </v>
      </c>
      <c r="F3020" s="13" t="s">
        <v>235</v>
      </c>
      <c r="G3020" s="16"/>
      <c r="L3020" s="17"/>
      <c r="M3020" s="17"/>
    </row>
    <row r="3021" spans="1:16" x14ac:dyDescent="0.35">
      <c r="A3021">
        <v>154</v>
      </c>
      <c r="B3021" s="5">
        <v>44234</v>
      </c>
      <c r="C3021" s="15" t="str">
        <f>VLOOKUP(A3021,Inventory!$A$4:$K$1139,2)</f>
        <v>Panama Elida Natural 2019</v>
      </c>
      <c r="F3021" s="31" t="s">
        <v>291</v>
      </c>
      <c r="G3021" s="2" t="s">
        <v>270</v>
      </c>
      <c r="L3021" s="17"/>
      <c r="M3021" s="17"/>
      <c r="P3021" s="8"/>
    </row>
    <row r="3022" spans="1:16" x14ac:dyDescent="0.35">
      <c r="F3022" s="13"/>
      <c r="G3022" s="16"/>
      <c r="L3022" s="19"/>
      <c r="M3022" s="19"/>
    </row>
    <row r="3023" spans="1:16" x14ac:dyDescent="0.35">
      <c r="B3023" s="20"/>
      <c r="C3023" s="11" t="s">
        <v>240</v>
      </c>
      <c r="D3023" s="11" t="s">
        <v>272</v>
      </c>
      <c r="E3023" s="11" t="s">
        <v>440</v>
      </c>
      <c r="F3023" s="11">
        <v>380</v>
      </c>
      <c r="G3023" s="11">
        <v>386</v>
      </c>
      <c r="H3023" s="11">
        <v>389</v>
      </c>
      <c r="I3023" s="11"/>
      <c r="J3023" s="11"/>
      <c r="K3023" s="28"/>
      <c r="L3023" s="28"/>
    </row>
    <row r="3024" spans="1:16" ht="15.75" customHeight="1" x14ac:dyDescent="0.35">
      <c r="B3024" s="20" t="s">
        <v>242</v>
      </c>
      <c r="C3024" s="30"/>
      <c r="D3024" s="30"/>
      <c r="E3024" s="23" t="s">
        <v>244</v>
      </c>
      <c r="F3024" s="23" t="s">
        <v>245</v>
      </c>
      <c r="G3024" s="23" t="s">
        <v>246</v>
      </c>
      <c r="H3024" s="23" t="s">
        <v>273</v>
      </c>
      <c r="O3024" s="4"/>
    </row>
    <row r="3025" spans="1:16" ht="1" customHeight="1" x14ac:dyDescent="0.35">
      <c r="B3025" s="24" t="s">
        <v>249</v>
      </c>
      <c r="C3025" s="25"/>
      <c r="D3025" s="25"/>
      <c r="E3025" s="25"/>
      <c r="F3025" s="25"/>
      <c r="G3025" s="25"/>
      <c r="H3025" s="25"/>
      <c r="O3025" t="e">
        <f>(O3023-3*O3022)/O3024</f>
        <v>#DIV/0!</v>
      </c>
    </row>
    <row r="3026" spans="1:16" ht="15.75" customHeight="1" x14ac:dyDescent="0.35">
      <c r="B3026" s="20" t="s">
        <v>250</v>
      </c>
      <c r="C3026" s="26">
        <v>0.20486111111111113</v>
      </c>
      <c r="D3026" s="26">
        <v>0.2986111111111111</v>
      </c>
      <c r="E3026" s="26">
        <v>0.3888888888888889</v>
      </c>
      <c r="F3026" s="26">
        <f>E3026+'Lookup Tables'!$N$1</f>
        <v>0.40972222222222221</v>
      </c>
      <c r="G3026" s="26">
        <f>F3026+'Lookup Tables'!$N$1</f>
        <v>0.43055555555555552</v>
      </c>
      <c r="H3026" s="26">
        <f>G3026+'Lookup Tables'!$S$1</f>
        <v>0.44097222222222221</v>
      </c>
      <c r="N3026">
        <f>MAX(F3023:M3023)-O3026</f>
        <v>17</v>
      </c>
      <c r="O3026" t="str">
        <f>RIGHT(E3023,3)</f>
        <v>372</v>
      </c>
    </row>
    <row r="3027" spans="1:16" ht="15.75" customHeight="1" x14ac:dyDescent="0.35">
      <c r="B3027" s="20" t="s">
        <v>251</v>
      </c>
      <c r="C3027" s="27">
        <v>0.2</v>
      </c>
      <c r="D3027" s="27">
        <v>0.5</v>
      </c>
      <c r="E3027" s="27">
        <v>0.5</v>
      </c>
      <c r="F3027" s="27" t="s">
        <v>274</v>
      </c>
      <c r="G3027" s="27"/>
      <c r="H3027" s="25"/>
      <c r="N3027" t="str">
        <f xml:space="preserve">  N3026 &amp; " degrees this time"</f>
        <v>17 degrees this time</v>
      </c>
    </row>
    <row r="3028" spans="1:16" ht="15.75" customHeight="1" x14ac:dyDescent="0.35">
      <c r="B3028" s="20" t="s">
        <v>252</v>
      </c>
      <c r="C3028" s="27">
        <v>0.9</v>
      </c>
      <c r="D3028" s="27">
        <v>0.7</v>
      </c>
      <c r="E3028" s="27">
        <v>0.6</v>
      </c>
      <c r="F3028" s="27" t="s">
        <v>274</v>
      </c>
      <c r="G3028" s="27"/>
      <c r="H3028" s="27" t="s">
        <v>275</v>
      </c>
    </row>
    <row r="3029" spans="1:16" ht="15.75" customHeight="1" x14ac:dyDescent="0.35">
      <c r="B3029" s="20"/>
      <c r="D3029" s="11"/>
      <c r="E3029" s="11"/>
      <c r="F3029" s="11"/>
    </row>
    <row r="3030" spans="1:16" ht="15.75" customHeight="1" x14ac:dyDescent="0.35">
      <c r="B3030" s="20"/>
      <c r="C3030" s="30"/>
      <c r="D3030" s="11"/>
      <c r="E3030" s="11"/>
      <c r="F3030" s="11"/>
      <c r="G3030" s="1" t="s">
        <v>276</v>
      </c>
      <c r="K3030" s="32" t="s">
        <v>472</v>
      </c>
      <c r="L3030" s="9"/>
      <c r="M3030" s="9"/>
    </row>
    <row r="3031" spans="1:16" ht="15.75" customHeight="1" x14ac:dyDescent="0.35">
      <c r="B3031" s="20"/>
      <c r="G3031" s="1"/>
      <c r="H3031" s="1"/>
      <c r="K3031" s="9"/>
      <c r="L3031" s="9"/>
      <c r="M3031" s="9"/>
    </row>
    <row r="3032" spans="1:16" ht="15.75" customHeight="1" x14ac:dyDescent="0.35">
      <c r="B3032" s="20"/>
      <c r="G3032" s="1"/>
      <c r="H3032" s="1"/>
      <c r="K3032" s="32" t="s">
        <v>277</v>
      </c>
      <c r="L3032" s="9"/>
      <c r="M3032" s="9"/>
    </row>
    <row r="3033" spans="1:16" ht="15.75" customHeight="1" x14ac:dyDescent="0.35">
      <c r="B3033" s="9"/>
      <c r="C3033" s="9"/>
      <c r="D3033" s="9"/>
      <c r="E3033" s="9"/>
      <c r="F3033" s="12"/>
      <c r="G3033" s="12"/>
      <c r="H3033" s="12"/>
      <c r="I3033" s="12"/>
      <c r="J3033" s="12"/>
      <c r="K3033" s="12"/>
      <c r="L3033" s="1"/>
    </row>
    <row r="3034" spans="1:16" ht="15.75" customHeight="1" x14ac:dyDescent="0.35">
      <c r="B3034" s="13"/>
      <c r="C3034" s="13"/>
      <c r="D3034" s="15"/>
      <c r="F3034" s="33" t="s">
        <v>473</v>
      </c>
      <c r="G3034" s="16"/>
      <c r="H3034" s="14" t="s">
        <v>255</v>
      </c>
    </row>
    <row r="3035" spans="1:16" x14ac:dyDescent="0.35">
      <c r="B3035" s="13" t="s">
        <v>5</v>
      </c>
      <c r="C3035" s="13" t="s">
        <v>1</v>
      </c>
      <c r="D3035" s="15" t="str">
        <f>VLOOKUP(A3036,Inventory!$A$4:$K$1139,7)</f>
        <v>Leverhead Coffee</v>
      </c>
      <c r="F3035" s="13" t="s">
        <v>235</v>
      </c>
      <c r="G3035" s="16"/>
      <c r="L3035" s="17"/>
      <c r="M3035" s="17"/>
    </row>
    <row r="3036" spans="1:16" x14ac:dyDescent="0.35">
      <c r="A3036">
        <v>159</v>
      </c>
      <c r="B3036" s="5">
        <v>44234</v>
      </c>
      <c r="C3036" s="15" t="str">
        <f>VLOOKUP(A3036,Inventory!$A$4:$K$1139,2)</f>
        <v>Rwanda Abakundakawa 2020</v>
      </c>
      <c r="F3036" s="31" t="s">
        <v>291</v>
      </c>
      <c r="G3036" s="2" t="s">
        <v>270</v>
      </c>
      <c r="L3036" s="17"/>
      <c r="M3036" s="17"/>
      <c r="P3036" s="8"/>
    </row>
    <row r="3037" spans="1:16" x14ac:dyDescent="0.35">
      <c r="L3037" s="19"/>
      <c r="M3037" s="19"/>
    </row>
    <row r="3038" spans="1:16" x14ac:dyDescent="0.35">
      <c r="B3038" s="20"/>
      <c r="C3038" s="11" t="s">
        <v>240</v>
      </c>
      <c r="D3038" s="11" t="s">
        <v>272</v>
      </c>
      <c r="E3038" s="11" t="s">
        <v>319</v>
      </c>
      <c r="F3038" s="11">
        <v>379</v>
      </c>
      <c r="G3038" s="11">
        <v>383</v>
      </c>
      <c r="H3038" s="11">
        <v>390</v>
      </c>
      <c r="I3038" s="11">
        <v>397</v>
      </c>
      <c r="J3038" s="11">
        <v>400</v>
      </c>
      <c r="K3038" s="28"/>
      <c r="L3038" s="28"/>
    </row>
    <row r="3039" spans="1:16" ht="15.75" customHeight="1" x14ac:dyDescent="0.35">
      <c r="A3039" t="s">
        <v>16</v>
      </c>
      <c r="B3039" s="20" t="s">
        <v>242</v>
      </c>
      <c r="C3039" s="30"/>
      <c r="D3039" s="30"/>
      <c r="E3039" s="23" t="s">
        <v>244</v>
      </c>
      <c r="F3039" s="23" t="s">
        <v>245</v>
      </c>
      <c r="G3039" s="23" t="s">
        <v>246</v>
      </c>
      <c r="H3039" s="23" t="s">
        <v>247</v>
      </c>
      <c r="I3039" s="23" t="s">
        <v>259</v>
      </c>
      <c r="J3039" s="23" t="s">
        <v>260</v>
      </c>
      <c r="O3039" s="4"/>
    </row>
    <row r="3040" spans="1:16" ht="1" customHeight="1" x14ac:dyDescent="0.35">
      <c r="B3040" s="24" t="s">
        <v>249</v>
      </c>
      <c r="C3040" s="25"/>
      <c r="D3040" s="25"/>
      <c r="E3040" s="25">
        <v>388</v>
      </c>
      <c r="F3040" s="25">
        <v>393</v>
      </c>
      <c r="G3040" s="25">
        <v>397</v>
      </c>
      <c r="H3040" s="25">
        <v>401</v>
      </c>
      <c r="I3040" s="25"/>
      <c r="K3040" t="s">
        <v>280</v>
      </c>
      <c r="L3040" t="s">
        <v>280</v>
      </c>
      <c r="O3040" t="e">
        <f>(O3038-3*O3037)/O3039</f>
        <v>#DIV/0!</v>
      </c>
    </row>
    <row r="3041" spans="1:16" ht="15.75" customHeight="1" x14ac:dyDescent="0.35">
      <c r="B3041" s="20" t="s">
        <v>250</v>
      </c>
      <c r="C3041" s="26">
        <v>0.21180555555555555</v>
      </c>
      <c r="D3041" s="26">
        <v>0.2986111111111111</v>
      </c>
      <c r="E3041" s="26">
        <v>0.3888888888888889</v>
      </c>
      <c r="F3041" s="26">
        <f>E3041+'Lookup Tables'!$N$1</f>
        <v>0.40972222222222221</v>
      </c>
      <c r="G3041" s="26">
        <f>F3041+'Lookup Tables'!$N$1</f>
        <v>0.43055555555555552</v>
      </c>
      <c r="H3041" s="26">
        <f>G3041+'Lookup Tables'!$N$1</f>
        <v>0.45138888888888884</v>
      </c>
      <c r="I3041" s="26">
        <f>H3041+'Lookup Tables'!$N$1</f>
        <v>0.47222222222222215</v>
      </c>
      <c r="J3041" s="26">
        <f>I3041+'Lookup Tables'!$M$1</f>
        <v>0.48263888888888884</v>
      </c>
      <c r="N3041">
        <f>MAX(F3038:M3038)-O3041</f>
        <v>27</v>
      </c>
      <c r="O3041" t="str">
        <f>RIGHT(E3038,3)</f>
        <v>373</v>
      </c>
    </row>
    <row r="3042" spans="1:16" ht="15.75" customHeight="1" x14ac:dyDescent="0.35">
      <c r="B3042" s="20" t="s">
        <v>251</v>
      </c>
      <c r="C3042" s="27">
        <v>0.2</v>
      </c>
      <c r="D3042" s="27">
        <v>0.5</v>
      </c>
      <c r="E3042" s="27"/>
      <c r="F3042" s="27"/>
      <c r="G3042" s="27" t="s">
        <v>274</v>
      </c>
      <c r="H3042" s="27"/>
      <c r="I3042" s="27"/>
      <c r="J3042" s="27"/>
      <c r="N3042" t="str">
        <f xml:space="preserve">  N3041 &amp; " degrees this time"</f>
        <v>27 degrees this time</v>
      </c>
    </row>
    <row r="3043" spans="1:16" ht="15.75" customHeight="1" x14ac:dyDescent="0.35">
      <c r="B3043" s="20" t="s">
        <v>252</v>
      </c>
      <c r="C3043" s="27">
        <v>0.9</v>
      </c>
      <c r="D3043" s="27">
        <v>0.8</v>
      </c>
      <c r="E3043" s="27">
        <v>0.5</v>
      </c>
      <c r="F3043" s="27">
        <v>0.3</v>
      </c>
      <c r="G3043" s="27" t="s">
        <v>274</v>
      </c>
      <c r="H3043" s="61">
        <v>0.3</v>
      </c>
      <c r="I3043" s="27"/>
      <c r="J3043" s="27" t="s">
        <v>275</v>
      </c>
    </row>
    <row r="3044" spans="1:16" ht="15.75" customHeight="1" x14ac:dyDescent="0.35">
      <c r="B3044" s="20"/>
      <c r="C3044" s="30"/>
      <c r="D3044" s="11"/>
      <c r="E3044" s="11"/>
      <c r="F3044" s="11"/>
      <c r="H3044" s="1" t="s">
        <v>409</v>
      </c>
      <c r="J3044" s="35"/>
      <c r="K3044" s="35"/>
    </row>
    <row r="3045" spans="1:16" ht="15.75" customHeight="1" x14ac:dyDescent="0.35">
      <c r="G3045" s="1" t="s">
        <v>418</v>
      </c>
      <c r="K3045" s="32" t="s">
        <v>474</v>
      </c>
      <c r="L3045" s="9"/>
      <c r="M3045" s="9"/>
    </row>
    <row r="3046" spans="1:16" ht="15.75" customHeight="1" x14ac:dyDescent="0.35">
      <c r="B3046" s="20"/>
      <c r="G3046" s="1"/>
      <c r="H3046" s="1"/>
      <c r="K3046" s="32" t="s">
        <v>475</v>
      </c>
      <c r="L3046" s="9"/>
      <c r="M3046" s="9"/>
    </row>
    <row r="3047" spans="1:16" ht="15.75" customHeight="1" x14ac:dyDescent="0.35">
      <c r="B3047" s="20"/>
      <c r="G3047" s="1"/>
      <c r="H3047" s="1"/>
      <c r="K3047" s="32" t="s">
        <v>254</v>
      </c>
      <c r="L3047" s="9"/>
      <c r="M3047" s="9"/>
    </row>
    <row r="3048" spans="1:16" ht="15.75" customHeight="1" x14ac:dyDescent="0.35">
      <c r="B3048" s="9"/>
      <c r="C3048" s="9"/>
      <c r="D3048" s="9"/>
      <c r="E3048" s="9"/>
      <c r="F3048" s="12"/>
      <c r="G3048" s="12"/>
      <c r="H3048" s="12"/>
      <c r="I3048" s="12"/>
      <c r="J3048" s="12"/>
      <c r="K3048" s="12"/>
      <c r="L3048" s="1"/>
    </row>
    <row r="3049" spans="1:16" ht="15.75" customHeight="1" x14ac:dyDescent="0.35">
      <c r="B3049" s="13"/>
      <c r="C3049" s="13"/>
      <c r="D3049" s="13"/>
      <c r="E3049" s="13"/>
      <c r="F3049" s="33" t="s">
        <v>476</v>
      </c>
      <c r="G3049" s="13"/>
      <c r="I3049" s="14"/>
    </row>
    <row r="3050" spans="1:16" x14ac:dyDescent="0.35">
      <c r="B3050" s="13" t="s">
        <v>5</v>
      </c>
      <c r="C3050" s="13" t="s">
        <v>1</v>
      </c>
      <c r="D3050" s="15" t="str">
        <f>VLOOKUP(A3051,Inventory!$A$4:$K$1139,7)</f>
        <v xml:space="preserve">Klatch                             </v>
      </c>
      <c r="F3050" s="13" t="s">
        <v>235</v>
      </c>
      <c r="G3050" s="16"/>
      <c r="L3050" s="17"/>
      <c r="M3050" s="17"/>
    </row>
    <row r="3051" spans="1:16" x14ac:dyDescent="0.35">
      <c r="A3051">
        <v>162</v>
      </c>
      <c r="B3051" s="5">
        <v>44234</v>
      </c>
      <c r="C3051" s="15" t="str">
        <f>VLOOKUP(A3051,Inventory!$A$4:$K$1139,2)</f>
        <v>El Salvador Las Mercedes Caturra 2020</v>
      </c>
      <c r="F3051" s="34" t="s">
        <v>279</v>
      </c>
      <c r="G3051" s="2" t="s">
        <v>270</v>
      </c>
      <c r="L3051" s="17"/>
      <c r="M3051" s="17"/>
      <c r="P3051" s="8"/>
    </row>
    <row r="3052" spans="1:16" x14ac:dyDescent="0.35">
      <c r="L3052" s="19"/>
      <c r="M3052" s="19"/>
    </row>
    <row r="3053" spans="1:16" x14ac:dyDescent="0.35">
      <c r="B3053" s="20"/>
      <c r="C3053" s="11" t="s">
        <v>240</v>
      </c>
      <c r="D3053" s="11" t="s">
        <v>241</v>
      </c>
      <c r="E3053" s="11" t="s">
        <v>477</v>
      </c>
      <c r="F3053" s="11">
        <v>370</v>
      </c>
      <c r="G3053" s="11">
        <v>377</v>
      </c>
      <c r="H3053" s="11">
        <v>385</v>
      </c>
      <c r="I3053" s="11">
        <v>388</v>
      </c>
      <c r="J3053" s="11">
        <v>390</v>
      </c>
      <c r="K3053" s="28" t="s">
        <v>373</v>
      </c>
      <c r="L3053" s="28"/>
    </row>
    <row r="3054" spans="1:16" ht="15.75" customHeight="1" x14ac:dyDescent="0.35">
      <c r="B3054" s="20" t="s">
        <v>242</v>
      </c>
      <c r="C3054" s="21"/>
      <c r="D3054" s="22" t="s">
        <v>294</v>
      </c>
      <c r="E3054" s="23" t="s">
        <v>244</v>
      </c>
      <c r="F3054" s="23" t="s">
        <v>245</v>
      </c>
      <c r="G3054" s="23" t="s">
        <v>246</v>
      </c>
      <c r="H3054" s="23" t="s">
        <v>247</v>
      </c>
      <c r="I3054" s="23" t="s">
        <v>248</v>
      </c>
      <c r="J3054" s="23" t="s">
        <v>259</v>
      </c>
      <c r="O3054" s="4"/>
    </row>
    <row r="3055" spans="1:16" ht="1" customHeight="1" x14ac:dyDescent="0.35">
      <c r="B3055" s="24" t="s">
        <v>249</v>
      </c>
      <c r="C3055" s="25"/>
      <c r="D3055" s="25"/>
      <c r="E3055" s="25">
        <v>384</v>
      </c>
      <c r="F3055" s="25">
        <v>392</v>
      </c>
      <c r="G3055" s="25">
        <v>395</v>
      </c>
      <c r="H3055" s="25"/>
      <c r="I3055" s="25"/>
      <c r="J3055" s="25">
        <v>415</v>
      </c>
      <c r="O3055" t="e">
        <f>(O3053-3*O3052)/O3054</f>
        <v>#DIV/0!</v>
      </c>
    </row>
    <row r="3056" spans="1:16" ht="15.75" customHeight="1" x14ac:dyDescent="0.35">
      <c r="B3056" s="20" t="s">
        <v>250</v>
      </c>
      <c r="C3056" s="26">
        <v>0.23263888888888887</v>
      </c>
      <c r="D3056" s="26">
        <v>0.30555555555555552</v>
      </c>
      <c r="E3056" s="26">
        <v>0.375</v>
      </c>
      <c r="F3056" s="26">
        <f>E3056+'Lookup Tables'!$N$1</f>
        <v>0.39583333333333331</v>
      </c>
      <c r="G3056" s="26">
        <f>F3056+'Lookup Tables'!$N$1</f>
        <v>0.41666666666666663</v>
      </c>
      <c r="H3056" s="26">
        <f>G3056+'Lookup Tables'!$N$1</f>
        <v>0.43749999999999994</v>
      </c>
      <c r="I3056" s="26">
        <f>H3056+'Lookup Tables'!$S$1</f>
        <v>0.44791666666666663</v>
      </c>
      <c r="J3056" s="26">
        <f>I3056+'Lookup Tables'!$M$1</f>
        <v>0.45833333333333331</v>
      </c>
      <c r="N3056">
        <f>MAX(F3053:M3053)-O3056</f>
        <v>28</v>
      </c>
      <c r="O3056" t="str">
        <f>RIGHT(E3053,3)</f>
        <v>362</v>
      </c>
    </row>
    <row r="3057" spans="1:16" ht="15.75" customHeight="1" x14ac:dyDescent="0.35">
      <c r="B3057" s="20" t="s">
        <v>251</v>
      </c>
      <c r="C3057" s="27">
        <v>0.2</v>
      </c>
      <c r="D3057" s="27">
        <v>0.5</v>
      </c>
      <c r="E3057" s="27"/>
      <c r="F3057" s="27" t="s">
        <v>274</v>
      </c>
      <c r="G3057" s="27"/>
      <c r="H3057" s="27"/>
      <c r="I3057" s="27"/>
      <c r="J3057" s="27"/>
      <c r="N3057" t="str">
        <f xml:space="preserve">  N3056 &amp; " degrees this time"</f>
        <v>28 degrees this time</v>
      </c>
    </row>
    <row r="3058" spans="1:16" ht="15.75" customHeight="1" x14ac:dyDescent="0.35">
      <c r="B3058" s="20" t="s">
        <v>252</v>
      </c>
      <c r="C3058" s="27">
        <v>0.9</v>
      </c>
      <c r="D3058" s="27">
        <v>0.8</v>
      </c>
      <c r="E3058" s="27">
        <v>0.5</v>
      </c>
      <c r="F3058" s="27" t="s">
        <v>274</v>
      </c>
      <c r="G3058" s="27"/>
      <c r="H3058" s="27"/>
      <c r="I3058" s="27" t="s">
        <v>275</v>
      </c>
      <c r="J3058" s="27" t="s">
        <v>275</v>
      </c>
    </row>
    <row r="3059" spans="1:16" ht="15.75" customHeight="1" x14ac:dyDescent="0.35">
      <c r="B3059" s="20"/>
      <c r="C3059" s="30"/>
      <c r="H3059" s="13"/>
      <c r="I3059" s="13"/>
      <c r="J3059" s="35"/>
    </row>
    <row r="3060" spans="1:16" ht="15.75" customHeight="1" x14ac:dyDescent="0.35">
      <c r="C3060" s="30"/>
      <c r="G3060" s="1" t="s">
        <v>478</v>
      </c>
      <c r="K3060" s="32" t="s">
        <v>479</v>
      </c>
      <c r="L3060" s="9"/>
      <c r="M3060" s="9"/>
    </row>
    <row r="3061" spans="1:16" ht="15.75" customHeight="1" x14ac:dyDescent="0.35">
      <c r="B3061" s="20"/>
      <c r="G3061" s="1"/>
      <c r="H3061" s="1"/>
      <c r="K3061" s="32" t="s">
        <v>480</v>
      </c>
      <c r="L3061" s="9"/>
      <c r="M3061" s="9"/>
    </row>
    <row r="3062" spans="1:16" ht="15.75" customHeight="1" x14ac:dyDescent="0.35">
      <c r="B3062" s="20"/>
      <c r="G3062" s="1"/>
      <c r="H3062" s="1"/>
      <c r="K3062" s="32" t="s">
        <v>277</v>
      </c>
      <c r="L3062" s="9"/>
      <c r="M3062" s="9"/>
    </row>
    <row r="3063" spans="1:16" ht="15.75" customHeight="1" x14ac:dyDescent="0.35">
      <c r="B3063" s="9"/>
      <c r="C3063" s="9"/>
      <c r="D3063" s="9"/>
      <c r="E3063" s="9"/>
      <c r="F3063" s="12"/>
      <c r="G3063" s="12"/>
      <c r="H3063" s="12"/>
      <c r="I3063" s="12"/>
      <c r="J3063" s="12"/>
      <c r="K3063" s="12"/>
      <c r="L3063" s="1"/>
    </row>
    <row r="3064" spans="1:16" ht="15.75" customHeight="1" x14ac:dyDescent="0.35">
      <c r="B3064" s="13"/>
      <c r="C3064" s="13"/>
      <c r="D3064" s="13"/>
      <c r="E3064" s="13"/>
      <c r="F3064" s="13"/>
      <c r="G3064" s="13"/>
      <c r="H3064" s="14"/>
      <c r="I3064" s="13"/>
    </row>
    <row r="3065" spans="1:16" x14ac:dyDescent="0.35">
      <c r="B3065" s="13" t="s">
        <v>5</v>
      </c>
      <c r="C3065" s="13" t="s">
        <v>1</v>
      </c>
      <c r="D3065" s="15" t="str">
        <f>VLOOKUP(A3066,Inventory!$A$4:$K$1139,7)</f>
        <v xml:space="preserve">GCBC                               </v>
      </c>
      <c r="F3065" s="13" t="s">
        <v>235</v>
      </c>
      <c r="G3065" s="16"/>
      <c r="J3065" s="8"/>
      <c r="K3065" s="17"/>
      <c r="L3065" s="17"/>
      <c r="M3065" s="17"/>
    </row>
    <row r="3066" spans="1:16" x14ac:dyDescent="0.35">
      <c r="A3066">
        <v>148</v>
      </c>
      <c r="B3066" s="5">
        <v>44182</v>
      </c>
      <c r="C3066" s="15" t="str">
        <f>VLOOKUP(A3066,Inventory!$A$4:$K$1139,2)</f>
        <v>Costa Rica - La Pastora Tarrazu 2018</v>
      </c>
      <c r="F3066" s="34" t="s">
        <v>279</v>
      </c>
      <c r="G3066" s="2" t="s">
        <v>270</v>
      </c>
      <c r="K3066" s="17"/>
      <c r="L3066" s="17"/>
      <c r="M3066" s="17"/>
      <c r="P3066" s="8"/>
    </row>
    <row r="3067" spans="1:16" x14ac:dyDescent="0.35">
      <c r="G3067" s="16"/>
      <c r="J3067" s="19"/>
      <c r="K3067" s="19"/>
      <c r="L3067" s="19"/>
      <c r="M3067" s="19"/>
    </row>
    <row r="3068" spans="1:16" x14ac:dyDescent="0.35">
      <c r="B3068" s="20"/>
      <c r="C3068" s="11" t="s">
        <v>240</v>
      </c>
      <c r="D3068" s="11" t="s">
        <v>272</v>
      </c>
      <c r="E3068" s="11" t="s">
        <v>441</v>
      </c>
      <c r="F3068" s="11">
        <v>377</v>
      </c>
      <c r="G3068" s="11">
        <v>385</v>
      </c>
      <c r="H3068" s="11">
        <v>393</v>
      </c>
      <c r="I3068" s="11">
        <v>396</v>
      </c>
      <c r="J3068" s="11" t="s">
        <v>312</v>
      </c>
      <c r="K3068" s="11"/>
      <c r="L3068" s="28"/>
    </row>
    <row r="3069" spans="1:16" ht="15.75" customHeight="1" x14ac:dyDescent="0.35">
      <c r="B3069" s="20" t="s">
        <v>242</v>
      </c>
      <c r="C3069" s="30"/>
      <c r="D3069" s="30"/>
      <c r="E3069" s="23" t="s">
        <v>244</v>
      </c>
      <c r="F3069" s="23" t="s">
        <v>245</v>
      </c>
      <c r="G3069" s="23" t="s">
        <v>246</v>
      </c>
      <c r="H3069" s="23" t="s">
        <v>247</v>
      </c>
      <c r="I3069" s="23" t="s">
        <v>248</v>
      </c>
      <c r="O3069" s="4"/>
    </row>
    <row r="3070" spans="1:16" ht="1" customHeight="1" x14ac:dyDescent="0.35">
      <c r="B3070" s="24" t="s">
        <v>249</v>
      </c>
      <c r="C3070" s="25"/>
      <c r="D3070" s="25"/>
      <c r="E3070" s="25"/>
      <c r="F3070" s="25"/>
      <c r="G3070" s="25"/>
      <c r="H3070" s="25"/>
      <c r="I3070" s="25"/>
      <c r="O3070" t="e">
        <f>(O3068-3*O3067)/O3069</f>
        <v>#DIV/0!</v>
      </c>
    </row>
    <row r="3071" spans="1:16" ht="15.75" customHeight="1" x14ac:dyDescent="0.35">
      <c r="B3071" s="20" t="s">
        <v>250</v>
      </c>
      <c r="C3071" s="26">
        <v>0.23263888888888887</v>
      </c>
      <c r="D3071" s="26">
        <v>0.31944444444444448</v>
      </c>
      <c r="E3071" s="26">
        <v>0.39583333333333331</v>
      </c>
      <c r="F3071" s="26">
        <f>E3071+'Lookup Tables'!$N$1</f>
        <v>0.41666666666666663</v>
      </c>
      <c r="G3071" s="26">
        <f>F3071+'Lookup Tables'!$N$1</f>
        <v>0.43749999999999994</v>
      </c>
      <c r="H3071" s="26">
        <f>G3071+'Lookup Tables'!$N$1</f>
        <v>0.45833333333333326</v>
      </c>
      <c r="I3071" s="26">
        <f>H3071+'Lookup Tables'!$S$1</f>
        <v>0.46874999999999994</v>
      </c>
      <c r="N3071">
        <f>MAX(F3068:M3068)-O3071</f>
        <v>27</v>
      </c>
      <c r="O3071" t="str">
        <f>RIGHT(E3068,3)</f>
        <v>369</v>
      </c>
    </row>
    <row r="3072" spans="1:16" ht="15.75" customHeight="1" x14ac:dyDescent="0.35">
      <c r="B3072" s="20" t="s">
        <v>251</v>
      </c>
      <c r="C3072" s="27">
        <v>0.2</v>
      </c>
      <c r="D3072" s="27">
        <v>0.5</v>
      </c>
      <c r="E3072" s="25"/>
      <c r="F3072" s="27"/>
      <c r="G3072" s="27"/>
      <c r="H3072" s="25" t="s">
        <v>274</v>
      </c>
      <c r="I3072" s="27"/>
      <c r="N3072" t="str">
        <f xml:space="preserve">  N3071 &amp; " degrees this time"</f>
        <v>27 degrees this time</v>
      </c>
    </row>
    <row r="3073" spans="1:16" ht="15.75" customHeight="1" x14ac:dyDescent="0.35">
      <c r="B3073" s="20" t="s">
        <v>252</v>
      </c>
      <c r="C3073" s="27">
        <v>0.9</v>
      </c>
      <c r="D3073" s="27">
        <v>0.8</v>
      </c>
      <c r="E3073" s="27">
        <v>0.6</v>
      </c>
      <c r="F3073" s="27"/>
      <c r="G3073" s="27"/>
      <c r="H3073" s="25" t="s">
        <v>274</v>
      </c>
      <c r="I3073" s="27" t="s">
        <v>275</v>
      </c>
    </row>
    <row r="3074" spans="1:16" ht="15.75" customHeight="1" x14ac:dyDescent="0.35">
      <c r="B3074" s="20"/>
      <c r="C3074" s="30"/>
      <c r="D3074" s="11"/>
      <c r="E3074" s="11"/>
      <c r="F3074" s="11"/>
      <c r="G3074" s="1"/>
      <c r="H3074" s="1"/>
      <c r="I3074" s="1"/>
    </row>
    <row r="3075" spans="1:16" ht="15.75" customHeight="1" x14ac:dyDescent="0.35">
      <c r="B3075" s="20"/>
      <c r="C3075" s="30"/>
      <c r="D3075" s="11"/>
      <c r="E3075" s="11"/>
      <c r="F3075" s="11"/>
      <c r="G3075" s="1" t="s">
        <v>445</v>
      </c>
      <c r="K3075" s="32" t="s">
        <v>446</v>
      </c>
      <c r="L3075" s="9"/>
      <c r="M3075" s="9"/>
    </row>
    <row r="3076" spans="1:16" ht="15.75" customHeight="1" x14ac:dyDescent="0.35">
      <c r="B3076" s="20"/>
      <c r="G3076" s="1"/>
      <c r="H3076" s="1"/>
      <c r="K3076" s="32"/>
      <c r="L3076" s="9"/>
      <c r="M3076" s="9"/>
    </row>
    <row r="3077" spans="1:16" ht="15.75" customHeight="1" x14ac:dyDescent="0.35">
      <c r="B3077" s="20"/>
      <c r="G3077" s="1"/>
      <c r="H3077" s="1"/>
      <c r="K3077" s="9" t="s">
        <v>254</v>
      </c>
      <c r="L3077" s="9"/>
      <c r="M3077" s="9"/>
    </row>
    <row r="3078" spans="1:16" ht="15.75" customHeight="1" x14ac:dyDescent="0.35">
      <c r="B3078" s="9"/>
      <c r="C3078" s="9"/>
      <c r="D3078" s="9"/>
      <c r="E3078" s="9"/>
      <c r="F3078" s="12"/>
      <c r="G3078" s="12"/>
      <c r="H3078" s="12"/>
      <c r="I3078" s="12"/>
      <c r="J3078" s="12"/>
      <c r="K3078" s="12"/>
      <c r="L3078" s="1"/>
    </row>
    <row r="3079" spans="1:16" ht="15.75" customHeight="1" x14ac:dyDescent="0.35">
      <c r="B3079" s="13"/>
      <c r="C3079" s="13"/>
      <c r="D3079" s="15"/>
      <c r="G3079" s="16"/>
      <c r="I3079" s="14"/>
    </row>
    <row r="3080" spans="1:16" x14ac:dyDescent="0.35">
      <c r="B3080" s="13" t="s">
        <v>5</v>
      </c>
      <c r="C3080" s="13" t="s">
        <v>1</v>
      </c>
      <c r="D3080" s="15" t="str">
        <f>VLOOKUP(A3081,Inventory!$A$4:$K$1139,7)</f>
        <v>Coffee Bean corral</v>
      </c>
      <c r="F3080" s="13" t="s">
        <v>235</v>
      </c>
      <c r="G3080" s="16"/>
      <c r="L3080" s="17"/>
      <c r="M3080" s="17"/>
    </row>
    <row r="3081" spans="1:16" x14ac:dyDescent="0.35">
      <c r="A3081">
        <v>151</v>
      </c>
      <c r="B3081" s="5">
        <v>44182</v>
      </c>
      <c r="C3081" s="15" t="str">
        <f>VLOOKUP(A3081,Inventory!$A$4:$K$1139,2)</f>
        <v>Yemen Mocca Ismaili Natural 2018</v>
      </c>
      <c r="F3081" s="34" t="s">
        <v>279</v>
      </c>
      <c r="G3081" s="2" t="s">
        <v>286</v>
      </c>
      <c r="L3081" s="17"/>
      <c r="M3081" s="17"/>
      <c r="P3081" s="8"/>
    </row>
    <row r="3082" spans="1:16" x14ac:dyDescent="0.35">
      <c r="B3082" t="s">
        <v>16</v>
      </c>
      <c r="G3082" s="16"/>
      <c r="L3082" s="19"/>
      <c r="M3082" s="19"/>
    </row>
    <row r="3083" spans="1:16" x14ac:dyDescent="0.35">
      <c r="B3083" s="20"/>
      <c r="C3083" s="11" t="s">
        <v>240</v>
      </c>
      <c r="D3083" s="11" t="s">
        <v>272</v>
      </c>
      <c r="E3083" s="11" t="s">
        <v>319</v>
      </c>
      <c r="F3083" s="11">
        <v>380</v>
      </c>
      <c r="G3083" s="11">
        <v>388</v>
      </c>
      <c r="H3083" s="11">
        <v>392</v>
      </c>
      <c r="I3083" s="11"/>
      <c r="J3083" s="11"/>
      <c r="K3083" s="11"/>
      <c r="L3083" s="28"/>
    </row>
    <row r="3084" spans="1:16" ht="15.75" customHeight="1" x14ac:dyDescent="0.35">
      <c r="B3084" s="20" t="s">
        <v>242</v>
      </c>
      <c r="C3084" s="21"/>
      <c r="D3084" s="22" t="s">
        <v>294</v>
      </c>
      <c r="E3084" s="23" t="s">
        <v>244</v>
      </c>
      <c r="F3084" s="23" t="s">
        <v>245</v>
      </c>
      <c r="G3084" s="23" t="s">
        <v>246</v>
      </c>
      <c r="H3084" s="23" t="s">
        <v>273</v>
      </c>
      <c r="O3084" s="4"/>
    </row>
    <row r="3085" spans="1:16" ht="1" customHeight="1" x14ac:dyDescent="0.35">
      <c r="B3085" s="24" t="s">
        <v>249</v>
      </c>
      <c r="C3085" s="25">
        <v>320</v>
      </c>
      <c r="D3085" s="25">
        <v>350</v>
      </c>
      <c r="E3085" s="25"/>
      <c r="F3085" s="25"/>
      <c r="G3085" s="25"/>
      <c r="H3085" s="23" t="s">
        <v>247</v>
      </c>
      <c r="O3085" t="e">
        <f>(O3083-3*O3082)/O3084</f>
        <v>#DIV/0!</v>
      </c>
    </row>
    <row r="3086" spans="1:16" ht="15.75" customHeight="1" x14ac:dyDescent="0.35">
      <c r="B3086" s="20" t="s">
        <v>250</v>
      </c>
      <c r="C3086" s="26">
        <v>0.22916666666666666</v>
      </c>
      <c r="D3086" s="26">
        <v>0.3298611111111111</v>
      </c>
      <c r="E3086" s="26">
        <v>0.41666666666666669</v>
      </c>
      <c r="F3086" s="26">
        <f>E3086+'Lookup Tables'!$N$1</f>
        <v>0.4375</v>
      </c>
      <c r="G3086" s="26">
        <f>F3086+'Lookup Tables'!$N$1</f>
        <v>0.45833333333333331</v>
      </c>
      <c r="H3086" s="26">
        <f>G3086+'Lookup Tables'!$S$1</f>
        <v>0.46875</v>
      </c>
      <c r="I3086" s="11"/>
      <c r="J3086" s="11"/>
      <c r="K3086" s="11"/>
      <c r="N3086">
        <f>MAX(F3083:M3083)-O3086</f>
        <v>19</v>
      </c>
      <c r="O3086" t="str">
        <f>RIGHT(E3083,3)</f>
        <v>373</v>
      </c>
    </row>
    <row r="3087" spans="1:16" ht="15.75" customHeight="1" x14ac:dyDescent="0.35">
      <c r="B3087" s="20" t="s">
        <v>251</v>
      </c>
      <c r="C3087" s="27">
        <v>0.2</v>
      </c>
      <c r="D3087" s="27">
        <v>0.5</v>
      </c>
      <c r="E3087" s="27"/>
      <c r="F3087" s="27"/>
      <c r="G3087" s="27">
        <v>0.25</v>
      </c>
      <c r="H3087" s="27"/>
      <c r="N3087" t="str">
        <f xml:space="preserve">  N3086 &amp; " degrees this time"</f>
        <v>19 degrees this time</v>
      </c>
    </row>
    <row r="3088" spans="1:16" ht="15.75" customHeight="1" x14ac:dyDescent="0.35">
      <c r="B3088" s="20" t="s">
        <v>252</v>
      </c>
      <c r="C3088" s="27">
        <v>0.9</v>
      </c>
      <c r="D3088" s="27">
        <v>0.7</v>
      </c>
      <c r="E3088" s="27">
        <v>0.4</v>
      </c>
      <c r="F3088" s="27"/>
      <c r="G3088" s="27"/>
      <c r="H3088" s="27" t="s">
        <v>275</v>
      </c>
    </row>
    <row r="3089" spans="1:16" ht="15.75" customHeight="1" x14ac:dyDescent="0.35">
      <c r="B3089" s="20"/>
      <c r="D3089" s="11"/>
      <c r="E3089" s="40"/>
      <c r="F3089" s="11"/>
      <c r="G3089" s="11"/>
      <c r="K3089" s="32" t="s">
        <v>402</v>
      </c>
      <c r="L3089" s="9"/>
      <c r="M3089" s="9"/>
    </row>
    <row r="3090" spans="1:16" ht="15.75" customHeight="1" x14ac:dyDescent="0.35">
      <c r="B3090" s="38"/>
      <c r="D3090" s="15"/>
      <c r="F3090" s="13"/>
      <c r="G3090" s="1" t="s">
        <v>403</v>
      </c>
      <c r="K3090" s="32"/>
      <c r="L3090" s="9"/>
      <c r="M3090" s="9"/>
    </row>
    <row r="3091" spans="1:16" ht="15.75" customHeight="1" x14ac:dyDescent="0.35">
      <c r="B3091" s="20"/>
      <c r="G3091" s="1"/>
      <c r="H3091" s="1"/>
      <c r="K3091" s="9"/>
      <c r="L3091" s="9"/>
      <c r="M3091" s="9"/>
    </row>
    <row r="3092" spans="1:16" ht="15.75" customHeight="1" x14ac:dyDescent="0.35">
      <c r="B3092" s="20"/>
      <c r="G3092" s="1"/>
      <c r="H3092" s="1"/>
      <c r="K3092" s="9" t="s">
        <v>297</v>
      </c>
      <c r="L3092" s="9"/>
      <c r="M3092" s="9"/>
    </row>
    <row r="3093" spans="1:16" ht="15.75" customHeight="1" x14ac:dyDescent="0.35">
      <c r="B3093" s="9"/>
      <c r="C3093" s="9"/>
      <c r="D3093" s="9"/>
      <c r="E3093" s="9"/>
      <c r="F3093" s="12"/>
      <c r="G3093" s="12"/>
      <c r="H3093" s="12"/>
      <c r="I3093" s="12"/>
      <c r="J3093" s="12"/>
      <c r="K3093" s="12"/>
      <c r="L3093" s="1"/>
    </row>
    <row r="3094" spans="1:16" ht="15.75" customHeight="1" x14ac:dyDescent="0.35">
      <c r="B3094" s="13"/>
      <c r="C3094" s="13"/>
      <c r="D3094" s="15"/>
      <c r="G3094" s="16"/>
      <c r="H3094" s="14" t="s">
        <v>255</v>
      </c>
      <c r="I3094" s="14"/>
    </row>
    <row r="3095" spans="1:16" x14ac:dyDescent="0.35">
      <c r="B3095" s="13" t="s">
        <v>5</v>
      </c>
      <c r="C3095" s="13" t="s">
        <v>1</v>
      </c>
      <c r="D3095" s="15" t="str">
        <f>VLOOKUP(A3096,Inventory!$A$4:$K$1139,7)</f>
        <v xml:space="preserve">Sweet Marias                       </v>
      </c>
      <c r="F3095" s="13" t="s">
        <v>235</v>
      </c>
      <c r="G3095" s="16"/>
      <c r="L3095" s="17"/>
      <c r="M3095" s="17"/>
    </row>
    <row r="3096" spans="1:16" x14ac:dyDescent="0.35">
      <c r="A3096">
        <v>153</v>
      </c>
      <c r="B3096" s="5">
        <v>44182</v>
      </c>
      <c r="C3096" s="15" t="str">
        <f>VLOOKUP(A3096,Inventory!$A$4:$K$1139,2)</f>
        <v>Yemen Mokha Matari 2019</v>
      </c>
      <c r="F3096" s="31" t="s">
        <v>291</v>
      </c>
      <c r="G3096" s="2" t="s">
        <v>286</v>
      </c>
      <c r="L3096" s="17"/>
      <c r="M3096" s="17"/>
      <c r="P3096" s="8"/>
    </row>
    <row r="3097" spans="1:16" x14ac:dyDescent="0.35">
      <c r="B3097" t="s">
        <v>16</v>
      </c>
      <c r="G3097" s="16"/>
      <c r="L3097" s="19"/>
      <c r="M3097" s="19"/>
    </row>
    <row r="3098" spans="1:16" x14ac:dyDescent="0.35">
      <c r="B3098" s="20"/>
      <c r="C3098" s="11" t="s">
        <v>240</v>
      </c>
      <c r="D3098" s="11" t="s">
        <v>272</v>
      </c>
      <c r="E3098" s="11" t="s">
        <v>452</v>
      </c>
      <c r="F3098" s="11">
        <v>388</v>
      </c>
      <c r="G3098" s="11">
        <v>395</v>
      </c>
      <c r="H3098" s="11">
        <v>399</v>
      </c>
      <c r="I3098" s="11">
        <v>403</v>
      </c>
      <c r="J3098" s="11"/>
      <c r="K3098" s="11"/>
      <c r="L3098" s="28"/>
    </row>
    <row r="3099" spans="1:16" ht="15.75" customHeight="1" x14ac:dyDescent="0.35">
      <c r="B3099" s="20" t="s">
        <v>242</v>
      </c>
      <c r="C3099" s="21"/>
      <c r="D3099" s="22" t="s">
        <v>294</v>
      </c>
      <c r="E3099" s="23" t="s">
        <v>244</v>
      </c>
      <c r="F3099" s="23" t="s">
        <v>245</v>
      </c>
      <c r="G3099" s="23" t="s">
        <v>246</v>
      </c>
      <c r="H3099" s="23" t="s">
        <v>273</v>
      </c>
      <c r="I3099" s="23" t="s">
        <v>247</v>
      </c>
      <c r="O3099" s="4"/>
    </row>
    <row r="3100" spans="1:16" ht="1" customHeight="1" x14ac:dyDescent="0.35">
      <c r="B3100" s="24" t="s">
        <v>249</v>
      </c>
      <c r="C3100" s="25">
        <v>320</v>
      </c>
      <c r="D3100" s="25">
        <v>350</v>
      </c>
      <c r="E3100" s="25"/>
      <c r="F3100" s="25"/>
      <c r="G3100" s="25"/>
      <c r="H3100" s="23" t="s">
        <v>247</v>
      </c>
      <c r="I3100" s="25"/>
      <c r="O3100" t="e">
        <f>(O3098-3*O3097)/O3099</f>
        <v>#DIV/0!</v>
      </c>
    </row>
    <row r="3101" spans="1:16" ht="15.75" customHeight="1" x14ac:dyDescent="0.35">
      <c r="B3101" s="20" t="s">
        <v>250</v>
      </c>
      <c r="C3101" s="26">
        <v>0.19444444444444445</v>
      </c>
      <c r="D3101" s="26">
        <v>0.29166666666666669</v>
      </c>
      <c r="E3101" s="26">
        <v>0.40277777777777773</v>
      </c>
      <c r="F3101" s="26">
        <f>E3101+'Lookup Tables'!$N$1</f>
        <v>0.42361111111111105</v>
      </c>
      <c r="G3101" s="26">
        <f>F3101+'Lookup Tables'!$N$1</f>
        <v>0.44444444444444436</v>
      </c>
      <c r="H3101" s="26">
        <f>G3101+'Lookup Tables'!$S$1</f>
        <v>0.45486111111111105</v>
      </c>
      <c r="I3101" s="26">
        <f>H3101+'Lookup Tables'!$S$1</f>
        <v>0.46527777777777773</v>
      </c>
      <c r="J3101" s="11"/>
      <c r="K3101" s="11"/>
      <c r="N3101">
        <f>MAX(F3098:M3098)-O3101</f>
        <v>22</v>
      </c>
      <c r="O3101" t="str">
        <f>RIGHT(E3098,3)</f>
        <v>381</v>
      </c>
    </row>
    <row r="3102" spans="1:16" ht="15.75" customHeight="1" x14ac:dyDescent="0.35">
      <c r="B3102" s="20" t="s">
        <v>251</v>
      </c>
      <c r="C3102" s="27">
        <v>0.2</v>
      </c>
      <c r="D3102" s="27">
        <v>0.5</v>
      </c>
      <c r="E3102" s="27"/>
      <c r="F3102" s="27"/>
      <c r="G3102" s="27">
        <v>0.25</v>
      </c>
      <c r="H3102" s="27"/>
      <c r="I3102" s="27"/>
      <c r="N3102" t="str">
        <f xml:space="preserve">  N3101 &amp; " degrees this time"</f>
        <v>22 degrees this time</v>
      </c>
    </row>
    <row r="3103" spans="1:16" ht="15.75" customHeight="1" x14ac:dyDescent="0.35">
      <c r="B3103" s="20" t="s">
        <v>252</v>
      </c>
      <c r="C3103" s="27">
        <v>0.9</v>
      </c>
      <c r="D3103" s="27">
        <v>0.7</v>
      </c>
      <c r="E3103" s="27">
        <v>0.6</v>
      </c>
      <c r="F3103" s="27"/>
      <c r="G3103" s="27"/>
      <c r="H3103" s="27"/>
      <c r="I3103" s="27" t="s">
        <v>275</v>
      </c>
    </row>
    <row r="3104" spans="1:16" ht="15.75" customHeight="1" x14ac:dyDescent="0.35">
      <c r="B3104" s="20"/>
      <c r="D3104" s="11"/>
      <c r="E3104" s="40"/>
      <c r="F3104" s="11"/>
      <c r="G3104" s="11"/>
      <c r="K3104" s="32" t="s">
        <v>314</v>
      </c>
      <c r="L3104" s="9"/>
      <c r="M3104" s="9"/>
    </row>
    <row r="3105" spans="1:16" ht="15.75" customHeight="1" x14ac:dyDescent="0.35">
      <c r="B3105" s="38"/>
      <c r="D3105" s="15"/>
      <c r="F3105" s="13"/>
      <c r="G3105" s="1" t="s">
        <v>296</v>
      </c>
      <c r="K3105" s="32" t="s">
        <v>481</v>
      </c>
      <c r="L3105" s="9"/>
      <c r="M3105" s="9"/>
    </row>
    <row r="3106" spans="1:16" ht="15.75" customHeight="1" x14ac:dyDescent="0.35">
      <c r="B3106" s="20"/>
      <c r="G3106" s="1"/>
      <c r="H3106" s="1"/>
      <c r="K3106" s="9"/>
      <c r="L3106" s="9"/>
      <c r="M3106" s="9"/>
    </row>
    <row r="3107" spans="1:16" ht="15.75" customHeight="1" x14ac:dyDescent="0.35">
      <c r="B3107" s="20"/>
      <c r="G3107" s="1"/>
      <c r="H3107" s="1"/>
      <c r="K3107" s="9" t="s">
        <v>297</v>
      </c>
      <c r="L3107" s="9"/>
      <c r="M3107" s="9"/>
    </row>
    <row r="3108" spans="1:16" ht="15.75" customHeight="1" x14ac:dyDescent="0.35">
      <c r="B3108" s="9"/>
      <c r="C3108" s="9"/>
      <c r="D3108" s="9"/>
      <c r="E3108" s="9"/>
      <c r="F3108" s="12"/>
      <c r="G3108" s="12"/>
      <c r="H3108" s="12"/>
      <c r="I3108" s="12"/>
      <c r="J3108" s="12"/>
      <c r="K3108" s="12"/>
      <c r="L3108" s="1"/>
    </row>
    <row r="3109" spans="1:16" ht="15.75" customHeight="1" x14ac:dyDescent="0.35">
      <c r="B3109" s="13"/>
      <c r="C3109" s="13"/>
      <c r="D3109" s="15"/>
      <c r="F3109" s="33" t="s">
        <v>473</v>
      </c>
      <c r="H3109" s="14" t="s">
        <v>255</v>
      </c>
    </row>
    <row r="3110" spans="1:16" x14ac:dyDescent="0.35">
      <c r="B3110" s="13" t="s">
        <v>5</v>
      </c>
      <c r="C3110" s="13" t="s">
        <v>1</v>
      </c>
      <c r="D3110" s="15" t="str">
        <f>VLOOKUP(A3111,Inventory!$A$4:$K$1139,7)</f>
        <v>Burman Coffee</v>
      </c>
      <c r="F3110" s="13" t="s">
        <v>235</v>
      </c>
      <c r="G3110" s="16"/>
      <c r="L3110" s="17"/>
      <c r="M3110" s="17"/>
    </row>
    <row r="3111" spans="1:16" x14ac:dyDescent="0.35">
      <c r="A3111">
        <v>165</v>
      </c>
      <c r="B3111" s="5">
        <v>44182</v>
      </c>
      <c r="C3111" s="15" t="str">
        <f>VLOOKUP(A3111,Inventory!$A$4:$K$1139,2)</f>
        <v>Ethiopian Guji Natural - Shakiso 2020</v>
      </c>
      <c r="F3111" s="31" t="s">
        <v>291</v>
      </c>
      <c r="G3111" s="2" t="s">
        <v>286</v>
      </c>
      <c r="L3111" s="17"/>
      <c r="M3111" s="17"/>
      <c r="P3111" s="8"/>
    </row>
    <row r="3112" spans="1:16" x14ac:dyDescent="0.35">
      <c r="G3112" s="16"/>
      <c r="J3112" s="2" t="s">
        <v>258</v>
      </c>
      <c r="L3112" s="19"/>
      <c r="M3112" s="36"/>
    </row>
    <row r="3113" spans="1:16" x14ac:dyDescent="0.35">
      <c r="B3113" s="20"/>
      <c r="C3113" s="11" t="s">
        <v>240</v>
      </c>
      <c r="D3113" s="11" t="s">
        <v>272</v>
      </c>
      <c r="E3113" s="11" t="s">
        <v>447</v>
      </c>
      <c r="F3113" s="11">
        <v>381</v>
      </c>
      <c r="G3113" s="11">
        <v>386</v>
      </c>
      <c r="H3113" s="11">
        <v>394</v>
      </c>
      <c r="I3113" s="11">
        <v>401</v>
      </c>
      <c r="J3113" s="11">
        <v>406</v>
      </c>
      <c r="K3113" s="11"/>
      <c r="L3113" s="28"/>
    </row>
    <row r="3114" spans="1:16" ht="15.75" customHeight="1" x14ac:dyDescent="0.35">
      <c r="B3114" s="20" t="s">
        <v>242</v>
      </c>
      <c r="C3114" s="30"/>
      <c r="D3114" s="30"/>
      <c r="E3114" s="23" t="s">
        <v>244</v>
      </c>
      <c r="F3114" s="23" t="s">
        <v>245</v>
      </c>
      <c r="G3114" s="23" t="s">
        <v>246</v>
      </c>
      <c r="H3114" s="23" t="s">
        <v>247</v>
      </c>
      <c r="I3114" s="23" t="s">
        <v>248</v>
      </c>
      <c r="J3114" s="23" t="s">
        <v>259</v>
      </c>
      <c r="O3114" s="4"/>
    </row>
    <row r="3115" spans="1:16" ht="1" customHeight="1" x14ac:dyDescent="0.35">
      <c r="B3115" s="24" t="s">
        <v>249</v>
      </c>
      <c r="C3115" s="25"/>
      <c r="D3115" s="25"/>
      <c r="E3115" s="25"/>
      <c r="F3115" s="25"/>
      <c r="G3115" s="25"/>
      <c r="H3115" s="25"/>
      <c r="I3115" s="25"/>
      <c r="J3115" s="25"/>
      <c r="O3115" t="e">
        <f>(O3113-3*O3112)/O3114</f>
        <v>#DIV/0!</v>
      </c>
    </row>
    <row r="3116" spans="1:16" ht="15.75" customHeight="1" x14ac:dyDescent="0.35">
      <c r="B3116" s="20" t="s">
        <v>250</v>
      </c>
      <c r="C3116" s="26">
        <v>0.19097222222222221</v>
      </c>
      <c r="D3116" s="26">
        <v>0.28125</v>
      </c>
      <c r="E3116" s="26">
        <v>0.37152777777777773</v>
      </c>
      <c r="F3116" s="26">
        <f>E3116+'Lookup Tables'!$N$1</f>
        <v>0.39236111111111105</v>
      </c>
      <c r="G3116" s="26">
        <f>F3116+'Lookup Tables'!$N$1</f>
        <v>0.41319444444444436</v>
      </c>
      <c r="H3116" s="26">
        <f>G3116+'Lookup Tables'!$N$1</f>
        <v>0.43402777777777768</v>
      </c>
      <c r="I3116" s="26">
        <f>H3116+'Lookup Tables'!$S$1</f>
        <v>0.44444444444444436</v>
      </c>
      <c r="J3116" s="26">
        <f>I3116+'Lookup Tables'!$S$1</f>
        <v>0.45486111111111105</v>
      </c>
      <c r="N3116">
        <f>MAX(F3113:M3113)-O3116</f>
        <v>32</v>
      </c>
      <c r="O3116" t="str">
        <f>RIGHT(E3113,3)</f>
        <v>374</v>
      </c>
    </row>
    <row r="3117" spans="1:16" ht="15.75" customHeight="1" x14ac:dyDescent="0.35">
      <c r="B3117" s="20" t="s">
        <v>251</v>
      </c>
      <c r="C3117" s="27">
        <v>0.2</v>
      </c>
      <c r="D3117" s="27">
        <v>0.5</v>
      </c>
      <c r="E3117" s="27"/>
      <c r="F3117" s="27"/>
      <c r="G3117" s="27"/>
      <c r="H3117" s="25"/>
      <c r="I3117" s="25"/>
      <c r="J3117" s="25"/>
      <c r="N3117" t="str">
        <f xml:space="preserve">  N3116 &amp; " degrees this time"</f>
        <v>32 degrees this time</v>
      </c>
    </row>
    <row r="3118" spans="1:16" ht="15.75" customHeight="1" x14ac:dyDescent="0.35">
      <c r="B3118" s="20" t="s">
        <v>252</v>
      </c>
      <c r="C3118" s="27">
        <v>0.9</v>
      </c>
      <c r="D3118" s="27">
        <v>0.8</v>
      </c>
      <c r="E3118" s="27"/>
      <c r="F3118" s="27"/>
      <c r="G3118" s="27"/>
      <c r="H3118" s="27" t="s">
        <v>275</v>
      </c>
      <c r="I3118" s="27" t="s">
        <v>275</v>
      </c>
      <c r="J3118" s="27" t="s">
        <v>275</v>
      </c>
    </row>
    <row r="3119" spans="1:16" ht="15.75" customHeight="1" x14ac:dyDescent="0.35">
      <c r="B3119" s="20"/>
      <c r="C3119" s="30"/>
      <c r="D3119" s="11"/>
      <c r="E3119" s="1"/>
      <c r="F3119" s="11"/>
      <c r="G3119" s="11"/>
      <c r="H3119" s="11"/>
      <c r="J3119" s="37"/>
      <c r="K3119" s="32" t="s">
        <v>482</v>
      </c>
      <c r="L3119" s="9"/>
      <c r="M3119" s="9"/>
    </row>
    <row r="3120" spans="1:16" ht="15.75" customHeight="1" x14ac:dyDescent="0.35">
      <c r="B3120" s="38"/>
      <c r="D3120" s="11"/>
      <c r="E3120" s="11"/>
      <c r="F3120" s="11"/>
      <c r="G3120" s="1" t="s">
        <v>483</v>
      </c>
      <c r="K3120" s="32" t="s">
        <v>484</v>
      </c>
      <c r="L3120" s="9"/>
      <c r="M3120" s="9"/>
    </row>
    <row r="3121" spans="1:16" ht="15.75" customHeight="1" x14ac:dyDescent="0.35">
      <c r="B3121" s="20"/>
      <c r="G3121" s="1"/>
      <c r="H3121" s="1"/>
      <c r="K3121" s="32" t="s">
        <v>485</v>
      </c>
      <c r="L3121" s="9"/>
      <c r="M3121" s="9"/>
    </row>
    <row r="3122" spans="1:16" ht="15.75" customHeight="1" x14ac:dyDescent="0.35">
      <c r="B3122" s="20"/>
      <c r="G3122" s="1"/>
      <c r="H3122" s="1"/>
      <c r="K3122" s="9" t="s">
        <v>254</v>
      </c>
      <c r="L3122" s="9"/>
      <c r="M3122" s="9"/>
    </row>
    <row r="3123" spans="1:16" ht="15.75" customHeight="1" x14ac:dyDescent="0.35">
      <c r="B3123" s="9"/>
      <c r="C3123" s="9"/>
      <c r="D3123" s="9"/>
      <c r="E3123" s="9"/>
      <c r="F3123" s="12"/>
      <c r="G3123" s="12"/>
      <c r="H3123" s="12"/>
      <c r="I3123" s="12"/>
      <c r="J3123" s="12"/>
      <c r="K3123" s="12"/>
      <c r="L3123" s="1"/>
    </row>
    <row r="3124" spans="1:16" ht="15.75" customHeight="1" x14ac:dyDescent="0.35">
      <c r="B3124" s="13"/>
      <c r="C3124" s="13"/>
      <c r="D3124" s="13"/>
      <c r="E3124" s="13"/>
      <c r="F3124" s="13"/>
      <c r="G3124" s="13"/>
      <c r="I3124" s="14"/>
    </row>
    <row r="3125" spans="1:16" x14ac:dyDescent="0.35">
      <c r="B3125" s="13" t="s">
        <v>5</v>
      </c>
      <c r="C3125" s="13" t="s">
        <v>1</v>
      </c>
      <c r="D3125" s="15" t="str">
        <f>VLOOKUP(A3126,Inventory!$A$4:$K$1139,7)</f>
        <v xml:space="preserve">GCBC                               </v>
      </c>
      <c r="F3125" s="13" t="s">
        <v>235</v>
      </c>
      <c r="G3125" s="16"/>
      <c r="H3125" s="14" t="s">
        <v>236</v>
      </c>
      <c r="L3125" s="17"/>
      <c r="M3125" s="17"/>
    </row>
    <row r="3126" spans="1:16" x14ac:dyDescent="0.35">
      <c r="A3126">
        <v>155</v>
      </c>
      <c r="B3126" s="5">
        <v>44178</v>
      </c>
      <c r="C3126" s="15" t="str">
        <f>VLOOKUP(A3126,Inventory!$A$4:$K$1139,2)</f>
        <v>Organic Ethiopian Sidamo 2019 WP Decaf</v>
      </c>
      <c r="F3126" s="18" t="s">
        <v>237</v>
      </c>
      <c r="G3126" s="2" t="s">
        <v>238</v>
      </c>
      <c r="L3126" s="17"/>
      <c r="M3126" s="17"/>
      <c r="P3126" s="8"/>
    </row>
    <row r="3127" spans="1:16" x14ac:dyDescent="0.35">
      <c r="J3127" s="1" t="s">
        <v>16</v>
      </c>
      <c r="L3127" s="19"/>
      <c r="M3127" s="19"/>
    </row>
    <row r="3128" spans="1:16" x14ac:dyDescent="0.35">
      <c r="C3128" s="11" t="s">
        <v>240</v>
      </c>
      <c r="D3128" s="11" t="s">
        <v>241</v>
      </c>
      <c r="E3128" s="11" t="s">
        <v>444</v>
      </c>
      <c r="F3128" s="11">
        <v>366</v>
      </c>
      <c r="G3128" s="11">
        <v>372</v>
      </c>
      <c r="H3128" s="11">
        <v>378</v>
      </c>
      <c r="I3128" s="11">
        <v>385</v>
      </c>
      <c r="J3128" s="11"/>
      <c r="K3128" s="11"/>
      <c r="L3128" s="11"/>
    </row>
    <row r="3129" spans="1:16" ht="15.75" customHeight="1" x14ac:dyDescent="0.35">
      <c r="B3129" s="20" t="s">
        <v>242</v>
      </c>
      <c r="C3129" s="30"/>
      <c r="D3129" s="22" t="s">
        <v>433</v>
      </c>
      <c r="E3129" s="23" t="s">
        <v>244</v>
      </c>
      <c r="F3129" s="23" t="s">
        <v>245</v>
      </c>
      <c r="G3129" s="23" t="s">
        <v>246</v>
      </c>
      <c r="H3129" s="23" t="s">
        <v>247</v>
      </c>
      <c r="I3129" s="23" t="s">
        <v>259</v>
      </c>
      <c r="J3129" s="23" t="s">
        <v>260</v>
      </c>
      <c r="K3129" s="23" t="s">
        <v>261</v>
      </c>
      <c r="O3129" s="4"/>
    </row>
    <row r="3130" spans="1:16" ht="1" customHeight="1" x14ac:dyDescent="0.35">
      <c r="B3130" s="24" t="s">
        <v>249</v>
      </c>
      <c r="C3130" s="25">
        <v>320</v>
      </c>
      <c r="D3130" s="25">
        <v>350</v>
      </c>
      <c r="E3130" s="25">
        <v>377</v>
      </c>
      <c r="F3130" s="25">
        <v>384</v>
      </c>
      <c r="G3130" s="25">
        <v>388</v>
      </c>
      <c r="H3130" s="25">
        <v>392</v>
      </c>
      <c r="I3130" s="25">
        <v>395</v>
      </c>
      <c r="J3130" s="25">
        <v>415</v>
      </c>
      <c r="K3130" s="25">
        <v>415</v>
      </c>
      <c r="O3130" t="e">
        <f>(O3128-3*O3127)/O3129</f>
        <v>#DIV/0!</v>
      </c>
    </row>
    <row r="3131" spans="1:16" ht="15.75" customHeight="1" x14ac:dyDescent="0.35">
      <c r="B3131" s="20" t="s">
        <v>250</v>
      </c>
      <c r="C3131" s="26">
        <v>0.24652777777777779</v>
      </c>
      <c r="D3131" s="26">
        <v>0.31944444444444448</v>
      </c>
      <c r="E3131" s="26">
        <v>0.3888888888888889</v>
      </c>
      <c r="F3131" s="26">
        <f>E3131+'Lookup Tables'!$N$1</f>
        <v>0.40972222222222221</v>
      </c>
      <c r="G3131" s="26">
        <f>F3131+'Lookup Tables'!$N$1</f>
        <v>0.43055555555555552</v>
      </c>
      <c r="H3131" s="26">
        <f>G3131+'Lookup Tables'!$N$1</f>
        <v>0.45138888888888884</v>
      </c>
      <c r="I3131" s="26">
        <f>H3131+'Lookup Tables'!$N$1</f>
        <v>0.47222222222222215</v>
      </c>
      <c r="J3131" s="26">
        <f>I3131+'Lookup Tables'!$M$1</f>
        <v>0.48263888888888884</v>
      </c>
      <c r="K3131" s="26">
        <f>J3131+'Lookup Tables'!$M$1</f>
        <v>0.49305555555555552</v>
      </c>
      <c r="N3131">
        <f>MAX(F3128:M3128)-O3131</f>
        <v>25</v>
      </c>
      <c r="O3131" t="str">
        <f>RIGHT(E3128,3)</f>
        <v>360</v>
      </c>
    </row>
    <row r="3132" spans="1:16" ht="15.75" customHeight="1" x14ac:dyDescent="0.35">
      <c r="B3132" s="20" t="s">
        <v>251</v>
      </c>
      <c r="C3132" s="27">
        <v>0.2</v>
      </c>
      <c r="D3132" s="27">
        <v>0.5</v>
      </c>
      <c r="E3132" s="27"/>
      <c r="F3132" s="27"/>
      <c r="G3132" s="27"/>
      <c r="H3132" s="27"/>
      <c r="I3132" s="27"/>
      <c r="J3132" s="27"/>
      <c r="K3132" s="27"/>
      <c r="N3132" t="str">
        <f xml:space="preserve">  N3131 &amp; " degrees this time"</f>
        <v>25 degrees this time</v>
      </c>
    </row>
    <row r="3133" spans="1:16" ht="15.75" customHeight="1" x14ac:dyDescent="0.35">
      <c r="B3133" s="20" t="s">
        <v>252</v>
      </c>
      <c r="C3133" s="27">
        <v>0.9</v>
      </c>
      <c r="D3133" s="27">
        <v>0.7</v>
      </c>
      <c r="E3133" s="27">
        <v>0.6</v>
      </c>
      <c r="F3133" s="27"/>
      <c r="G3133" s="27"/>
      <c r="H3133" s="27"/>
      <c r="I3133" s="27"/>
      <c r="J3133" s="27"/>
      <c r="K3133" s="27"/>
    </row>
    <row r="3134" spans="1:16" ht="15.75" customHeight="1" x14ac:dyDescent="0.35">
      <c r="B3134" s="20"/>
      <c r="D3134" s="11"/>
      <c r="E3134" s="11"/>
      <c r="F3134" s="28"/>
      <c r="H3134" s="1"/>
      <c r="I3134" s="1"/>
    </row>
    <row r="3135" spans="1:16" ht="15.75" customHeight="1" x14ac:dyDescent="0.35">
      <c r="G3135" s="1" t="s">
        <v>383</v>
      </c>
      <c r="K3135" s="9"/>
      <c r="L3135" s="9"/>
      <c r="M3135" s="9"/>
    </row>
    <row r="3136" spans="1:16" ht="15.75" customHeight="1" x14ac:dyDescent="0.35">
      <c r="B3136" s="20"/>
      <c r="G3136" s="1"/>
      <c r="H3136" s="1"/>
      <c r="K3136" s="9"/>
      <c r="L3136" s="9"/>
      <c r="M3136" s="9"/>
    </row>
    <row r="3137" spans="1:16" ht="15.75" customHeight="1" x14ac:dyDescent="0.35">
      <c r="B3137" s="20"/>
      <c r="G3137" s="1"/>
      <c r="H3137" s="1"/>
      <c r="K3137" s="9" t="s">
        <v>254</v>
      </c>
      <c r="L3137" s="9"/>
      <c r="M3137" s="9"/>
    </row>
    <row r="3138" spans="1:16" ht="15.75" customHeight="1" x14ac:dyDescent="0.35">
      <c r="B3138" s="9"/>
      <c r="C3138" s="9"/>
      <c r="D3138" s="9"/>
      <c r="E3138" s="9"/>
      <c r="F3138" s="12"/>
      <c r="G3138" s="12"/>
      <c r="H3138" s="12"/>
      <c r="I3138" s="12"/>
      <c r="J3138" s="12"/>
      <c r="K3138" s="12"/>
      <c r="L3138" s="1"/>
    </row>
    <row r="3139" spans="1:16" ht="15.75" customHeight="1" x14ac:dyDescent="0.35">
      <c r="B3139" s="13"/>
      <c r="C3139" s="13"/>
      <c r="D3139" s="15"/>
      <c r="H3139" s="14" t="s">
        <v>255</v>
      </c>
      <c r="I3139" s="14"/>
    </row>
    <row r="3140" spans="1:16" x14ac:dyDescent="0.35">
      <c r="B3140" s="13" t="s">
        <v>5</v>
      </c>
      <c r="C3140" s="13" t="s">
        <v>1</v>
      </c>
      <c r="D3140" s="15" t="str">
        <f>VLOOKUP(A3141,Inventory!$A$4:$K$1139,7)</f>
        <v xml:space="preserve">GCBC                               </v>
      </c>
      <c r="F3140" s="13" t="s">
        <v>235</v>
      </c>
      <c r="G3140" s="16"/>
      <c r="H3140" s="14" t="s">
        <v>256</v>
      </c>
      <c r="L3140" s="17"/>
      <c r="M3140" s="17"/>
    </row>
    <row r="3141" spans="1:16" x14ac:dyDescent="0.35">
      <c r="A3141">
        <v>155</v>
      </c>
      <c r="B3141" s="5">
        <v>44178</v>
      </c>
      <c r="C3141" s="15" t="str">
        <f>VLOOKUP(A3141,Inventory!$A$4:$K$1139,2)</f>
        <v>Organic Ethiopian Sidamo 2019 WP Decaf</v>
      </c>
      <c r="F3141" s="18" t="s">
        <v>257</v>
      </c>
      <c r="G3141" s="2" t="s">
        <v>238</v>
      </c>
      <c r="L3141" s="17"/>
      <c r="M3141" s="17"/>
      <c r="P3141" s="8"/>
    </row>
    <row r="3142" spans="1:16" x14ac:dyDescent="0.35">
      <c r="L3142" s="19"/>
      <c r="M3142" s="19"/>
    </row>
    <row r="3143" spans="1:16" x14ac:dyDescent="0.35">
      <c r="C3143" s="11" t="s">
        <v>240</v>
      </c>
      <c r="D3143" s="11" t="s">
        <v>241</v>
      </c>
      <c r="E3143" s="11" t="s">
        <v>441</v>
      </c>
      <c r="F3143" s="11">
        <v>375</v>
      </c>
      <c r="G3143" s="11">
        <v>377</v>
      </c>
      <c r="H3143" s="11">
        <v>382</v>
      </c>
      <c r="I3143" s="11">
        <v>386</v>
      </c>
      <c r="J3143" s="11">
        <v>389</v>
      </c>
      <c r="K3143" s="11">
        <v>391</v>
      </c>
      <c r="L3143" s="11"/>
    </row>
    <row r="3144" spans="1:16" ht="15.75" customHeight="1" x14ac:dyDescent="0.35">
      <c r="B3144" s="20" t="s">
        <v>242</v>
      </c>
      <c r="C3144" s="30"/>
      <c r="D3144" s="30"/>
      <c r="E3144" s="23" t="s">
        <v>244</v>
      </c>
      <c r="F3144" s="23" t="s">
        <v>245</v>
      </c>
      <c r="G3144" s="23" t="s">
        <v>246</v>
      </c>
      <c r="H3144" s="23" t="s">
        <v>247</v>
      </c>
      <c r="I3144" s="23" t="s">
        <v>259</v>
      </c>
      <c r="J3144" s="23" t="s">
        <v>260</v>
      </c>
      <c r="K3144" s="23" t="s">
        <v>261</v>
      </c>
      <c r="O3144" s="4"/>
    </row>
    <row r="3145" spans="1:16" ht="1" customHeight="1" x14ac:dyDescent="0.35">
      <c r="B3145" s="24" t="s">
        <v>249</v>
      </c>
      <c r="C3145" s="25">
        <v>320</v>
      </c>
      <c r="D3145" s="25">
        <v>350</v>
      </c>
      <c r="E3145" s="25">
        <v>377</v>
      </c>
      <c r="F3145" s="25">
        <v>384</v>
      </c>
      <c r="G3145" s="25">
        <v>388</v>
      </c>
      <c r="H3145" s="25">
        <v>392</v>
      </c>
      <c r="I3145" s="25">
        <v>395</v>
      </c>
      <c r="J3145" s="25">
        <v>415</v>
      </c>
      <c r="K3145" s="25">
        <v>415</v>
      </c>
      <c r="O3145" t="e">
        <f>(O3143-3*O3142)/O3144</f>
        <v>#DIV/0!</v>
      </c>
    </row>
    <row r="3146" spans="1:16" ht="15.75" customHeight="1" x14ac:dyDescent="0.35">
      <c r="B3146" s="20" t="s">
        <v>250</v>
      </c>
      <c r="C3146" s="26">
        <v>0.22916666666666666</v>
      </c>
      <c r="D3146" s="26">
        <v>0.3125</v>
      </c>
      <c r="E3146" s="26">
        <v>0.41666666666666669</v>
      </c>
      <c r="F3146" s="26">
        <f>E3146+'Lookup Tables'!$N$1</f>
        <v>0.4375</v>
      </c>
      <c r="G3146" s="26">
        <f>F3146+'Lookup Tables'!$N$1</f>
        <v>0.45833333333333331</v>
      </c>
      <c r="H3146" s="26">
        <f>G3146+'Lookup Tables'!$N$1</f>
        <v>0.47916666666666663</v>
      </c>
      <c r="I3146" s="26">
        <f>H3146+'Lookup Tables'!$N$1</f>
        <v>0.49999999999999994</v>
      </c>
      <c r="J3146" s="26">
        <f>I3146+'Lookup Tables'!$M$1</f>
        <v>0.51041666666666663</v>
      </c>
      <c r="K3146" s="26">
        <f>J3146+'Lookup Tables'!$M$1</f>
        <v>0.52083333333333326</v>
      </c>
      <c r="N3146">
        <f>MAX(F3143:M3143)-O3146</f>
        <v>22</v>
      </c>
      <c r="O3146" t="str">
        <f>RIGHT(E3143,3)</f>
        <v>369</v>
      </c>
    </row>
    <row r="3147" spans="1:16" ht="15.75" customHeight="1" x14ac:dyDescent="0.35">
      <c r="B3147" s="20" t="s">
        <v>251</v>
      </c>
      <c r="C3147" s="27">
        <v>0.2</v>
      </c>
      <c r="D3147" s="27">
        <v>0.5</v>
      </c>
      <c r="E3147" s="27"/>
      <c r="F3147" s="27"/>
      <c r="G3147" s="27"/>
      <c r="H3147" s="27"/>
      <c r="I3147" s="27"/>
      <c r="J3147" s="27"/>
      <c r="K3147" s="25"/>
      <c r="N3147" t="str">
        <f xml:space="preserve">  N3146 &amp; " degrees this time"</f>
        <v>22 degrees this time</v>
      </c>
    </row>
    <row r="3148" spans="1:16" ht="15.75" customHeight="1" x14ac:dyDescent="0.35">
      <c r="B3148" s="20" t="s">
        <v>252</v>
      </c>
      <c r="C3148" s="27">
        <v>0.9</v>
      </c>
      <c r="D3148" s="27">
        <v>0.7</v>
      </c>
      <c r="E3148" s="27">
        <v>0.6</v>
      </c>
      <c r="F3148" s="27"/>
      <c r="G3148" s="27"/>
      <c r="H3148" s="27"/>
      <c r="I3148" s="27"/>
      <c r="J3148" s="27"/>
      <c r="K3148" s="27"/>
    </row>
    <row r="3149" spans="1:16" ht="15.75" customHeight="1" x14ac:dyDescent="0.35">
      <c r="B3149" s="20"/>
      <c r="D3149" s="11"/>
      <c r="E3149" s="11"/>
      <c r="F3149" s="28"/>
      <c r="H3149" s="1"/>
    </row>
    <row r="3150" spans="1:16" ht="15.75" customHeight="1" x14ac:dyDescent="0.35">
      <c r="B3150" s="1" t="s">
        <v>385</v>
      </c>
      <c r="F3150" t="s">
        <v>263</v>
      </c>
      <c r="G3150" s="1"/>
      <c r="K3150" s="9"/>
      <c r="L3150" s="9"/>
      <c r="M3150" s="9"/>
    </row>
    <row r="3151" spans="1:16" ht="15.75" customHeight="1" x14ac:dyDescent="0.35">
      <c r="B3151" s="20" t="s">
        <v>264</v>
      </c>
      <c r="D3151" s="29"/>
      <c r="F3151" t="s">
        <v>265</v>
      </c>
      <c r="G3151" s="1"/>
      <c r="H3151" s="1"/>
      <c r="K3151" s="9" t="s">
        <v>386</v>
      </c>
      <c r="L3151" s="9"/>
      <c r="M3151" s="9"/>
    </row>
    <row r="3152" spans="1:16" ht="15.75" customHeight="1" x14ac:dyDescent="0.35">
      <c r="B3152" s="20" t="s">
        <v>267</v>
      </c>
      <c r="F3152" t="s">
        <v>268</v>
      </c>
      <c r="G3152" s="1"/>
      <c r="H3152" s="1"/>
      <c r="K3152" s="9" t="s">
        <v>254</v>
      </c>
      <c r="L3152" s="9"/>
      <c r="M3152" s="9"/>
    </row>
    <row r="3153" spans="1:16" ht="15.75" customHeight="1" x14ac:dyDescent="0.35">
      <c r="B3153" s="9"/>
      <c r="C3153" s="9"/>
      <c r="D3153" s="9"/>
      <c r="E3153" s="9"/>
      <c r="F3153" s="12"/>
      <c r="G3153" s="12"/>
      <c r="H3153" s="12"/>
      <c r="I3153" s="12"/>
      <c r="J3153" s="12"/>
      <c r="K3153" s="12"/>
      <c r="L3153" s="1"/>
    </row>
    <row r="3154" spans="1:16" ht="15.75" customHeight="1" x14ac:dyDescent="0.35">
      <c r="B3154" s="13"/>
      <c r="C3154" s="13"/>
      <c r="D3154" s="15"/>
      <c r="F3154" s="33" t="s">
        <v>305</v>
      </c>
      <c r="H3154" s="14" t="s">
        <v>255</v>
      </c>
    </row>
    <row r="3155" spans="1:16" x14ac:dyDescent="0.35">
      <c r="B3155" s="13" t="s">
        <v>5</v>
      </c>
      <c r="C3155" s="13" t="s">
        <v>1</v>
      </c>
      <c r="D3155" s="15" t="str">
        <f>VLOOKUP(A3156,Inventory!$A$4:$K$1139,7)</f>
        <v xml:space="preserve">Sweet Marias                       </v>
      </c>
      <c r="F3155" s="13" t="s">
        <v>235</v>
      </c>
      <c r="G3155" s="16"/>
      <c r="L3155" s="17"/>
      <c r="M3155" s="17"/>
    </row>
    <row r="3156" spans="1:16" x14ac:dyDescent="0.35">
      <c r="A3156">
        <v>158</v>
      </c>
      <c r="B3156" s="5">
        <v>44170</v>
      </c>
      <c r="C3156" s="15" t="str">
        <f>VLOOKUP(A3156,Inventory!$A$4:$K$1139,2)</f>
        <v>Ethiopia Organic Sidama Keramo 2020</v>
      </c>
      <c r="E3156" s="11"/>
      <c r="F3156" s="31" t="s">
        <v>291</v>
      </c>
      <c r="G3156" s="2" t="s">
        <v>286</v>
      </c>
      <c r="L3156" s="17"/>
      <c r="M3156" s="17"/>
      <c r="P3156" s="8"/>
    </row>
    <row r="3157" spans="1:16" x14ac:dyDescent="0.35">
      <c r="D3157" s="11"/>
      <c r="E3157" s="11"/>
      <c r="G3157" s="16"/>
      <c r="L3157" s="19"/>
      <c r="M3157" s="19"/>
    </row>
    <row r="3158" spans="1:16" x14ac:dyDescent="0.35">
      <c r="B3158" s="20"/>
      <c r="C3158" s="11" t="s">
        <v>240</v>
      </c>
      <c r="D3158" s="11" t="s">
        <v>272</v>
      </c>
      <c r="E3158" s="11" t="s">
        <v>450</v>
      </c>
      <c r="F3158" s="11">
        <v>379</v>
      </c>
      <c r="G3158" s="11">
        <v>384</v>
      </c>
      <c r="H3158" s="11">
        <v>390</v>
      </c>
      <c r="I3158" s="11">
        <v>393</v>
      </c>
      <c r="J3158" s="11">
        <v>397</v>
      </c>
      <c r="K3158" s="11" t="s">
        <v>486</v>
      </c>
      <c r="L3158" s="28"/>
    </row>
    <row r="3159" spans="1:16" ht="15.75" customHeight="1" x14ac:dyDescent="0.35">
      <c r="B3159" s="20" t="s">
        <v>242</v>
      </c>
      <c r="C3159" s="30"/>
      <c r="D3159" s="30"/>
      <c r="E3159" s="23" t="s">
        <v>244</v>
      </c>
      <c r="F3159" s="23" t="s">
        <v>245</v>
      </c>
      <c r="G3159" s="23" t="s">
        <v>246</v>
      </c>
      <c r="H3159" s="23" t="s">
        <v>247</v>
      </c>
      <c r="I3159" s="23" t="s">
        <v>248</v>
      </c>
      <c r="J3159" s="23" t="s">
        <v>259</v>
      </c>
      <c r="O3159" s="4"/>
    </row>
    <row r="3160" spans="1:16" ht="1" customHeight="1" x14ac:dyDescent="0.35">
      <c r="B3160" s="24" t="s">
        <v>249</v>
      </c>
      <c r="C3160" s="25"/>
      <c r="D3160" s="25"/>
      <c r="E3160" s="25"/>
      <c r="F3160" s="25"/>
      <c r="G3160" s="25"/>
      <c r="H3160" s="25"/>
      <c r="I3160" s="25"/>
      <c r="J3160" s="25"/>
      <c r="O3160" t="e">
        <f>(O3158-3*O3157)/O3159</f>
        <v>#DIV/0!</v>
      </c>
    </row>
    <row r="3161" spans="1:16" ht="15.75" customHeight="1" x14ac:dyDescent="0.35">
      <c r="B3161" s="20" t="s">
        <v>250</v>
      </c>
      <c r="C3161" s="26">
        <v>0.18055555555555555</v>
      </c>
      <c r="D3161" s="26">
        <v>0.2638888888888889</v>
      </c>
      <c r="E3161" s="26">
        <v>0.35416666666666669</v>
      </c>
      <c r="F3161" s="26">
        <f>E3161+'Lookup Tables'!$N$1</f>
        <v>0.375</v>
      </c>
      <c r="G3161" s="26">
        <f>F3161+'Lookup Tables'!$N$1</f>
        <v>0.39583333333333331</v>
      </c>
      <c r="H3161" s="26">
        <f>G3161+'Lookup Tables'!$N$1</f>
        <v>0.41666666666666663</v>
      </c>
      <c r="I3161" s="26">
        <f>H3161+'Lookup Tables'!$S$1</f>
        <v>0.42708333333333331</v>
      </c>
      <c r="J3161" s="26">
        <f>I3161+'Lookup Tables'!$S$1</f>
        <v>0.4375</v>
      </c>
      <c r="N3161">
        <f>MAX(F3158:M3158)-O3161</f>
        <v>22</v>
      </c>
      <c r="O3161" t="str">
        <f>RIGHT(E3158,3)</f>
        <v>375</v>
      </c>
    </row>
    <row r="3162" spans="1:16" ht="15.75" customHeight="1" x14ac:dyDescent="0.35">
      <c r="B3162" s="20" t="s">
        <v>251</v>
      </c>
      <c r="C3162" s="27">
        <v>0.2</v>
      </c>
      <c r="D3162" s="27">
        <v>0.5</v>
      </c>
      <c r="E3162" s="27"/>
      <c r="F3162" s="27"/>
      <c r="G3162" s="27"/>
      <c r="H3162" s="27"/>
      <c r="I3162" s="27"/>
      <c r="J3162" s="27"/>
      <c r="N3162" t="str">
        <f xml:space="preserve">  N3161 &amp; " degrees this time"</f>
        <v>22 degrees this time</v>
      </c>
    </row>
    <row r="3163" spans="1:16" ht="15.75" customHeight="1" x14ac:dyDescent="0.35">
      <c r="B3163" s="20" t="s">
        <v>252</v>
      </c>
      <c r="C3163" s="27">
        <v>0.9</v>
      </c>
      <c r="D3163" s="27">
        <v>0.7</v>
      </c>
      <c r="E3163" s="27"/>
      <c r="F3163" s="27">
        <v>0.5</v>
      </c>
      <c r="G3163" s="27"/>
      <c r="H3163" s="27">
        <v>0.2</v>
      </c>
      <c r="I3163" s="27"/>
      <c r="J3163" s="27" t="s">
        <v>275</v>
      </c>
    </row>
    <row r="3164" spans="1:16" ht="15.75" customHeight="1" x14ac:dyDescent="0.35">
      <c r="B3164" s="20"/>
      <c r="F3164" s="1"/>
    </row>
    <row r="3165" spans="1:16" ht="15.75" customHeight="1" x14ac:dyDescent="0.35">
      <c r="B3165" s="20"/>
      <c r="G3165" s="1" t="s">
        <v>351</v>
      </c>
      <c r="K3165" s="32" t="s">
        <v>369</v>
      </c>
      <c r="L3165" s="9"/>
      <c r="M3165" s="9"/>
    </row>
    <row r="3166" spans="1:16" ht="15.75" customHeight="1" x14ac:dyDescent="0.35">
      <c r="B3166" s="20"/>
      <c r="G3166" s="1"/>
      <c r="H3166" s="1"/>
      <c r="K3166" s="32" t="s">
        <v>487</v>
      </c>
      <c r="L3166" s="9"/>
      <c r="M3166" s="9"/>
    </row>
    <row r="3167" spans="1:16" ht="15.75" customHeight="1" x14ac:dyDescent="0.35">
      <c r="B3167" s="20"/>
      <c r="G3167" s="1"/>
      <c r="H3167" s="1"/>
      <c r="K3167" s="9" t="s">
        <v>300</v>
      </c>
      <c r="L3167" s="9"/>
      <c r="M3167" s="9"/>
    </row>
    <row r="3168" spans="1:16" ht="15.75" customHeight="1" x14ac:dyDescent="0.35">
      <c r="B3168" s="9"/>
      <c r="C3168" s="9"/>
      <c r="D3168" s="9"/>
      <c r="E3168" s="9"/>
      <c r="F3168" s="12"/>
      <c r="G3168" s="12"/>
      <c r="H3168" s="12"/>
      <c r="I3168" s="12"/>
      <c r="J3168" s="12"/>
      <c r="K3168" s="12"/>
      <c r="L3168" s="1"/>
    </row>
    <row r="3169" spans="1:16" ht="15.75" customHeight="1" x14ac:dyDescent="0.35">
      <c r="B3169" s="13"/>
      <c r="C3169" s="13"/>
      <c r="D3169" s="15"/>
    </row>
    <row r="3170" spans="1:16" x14ac:dyDescent="0.35">
      <c r="B3170" s="13" t="s">
        <v>5</v>
      </c>
      <c r="C3170" s="13" t="s">
        <v>1</v>
      </c>
      <c r="D3170" s="15" t="str">
        <f>VLOOKUP(A3171,Inventory!$A$4:$K$1139,7)</f>
        <v xml:space="preserve">Roastmasters                       </v>
      </c>
      <c r="F3170" s="13" t="s">
        <v>235</v>
      </c>
      <c r="G3170" s="16"/>
      <c r="L3170" s="17"/>
      <c r="M3170" s="17"/>
    </row>
    <row r="3171" spans="1:16" x14ac:dyDescent="0.35">
      <c r="A3171">
        <v>150</v>
      </c>
      <c r="B3171" s="5">
        <v>44170</v>
      </c>
      <c r="C3171" s="15" t="str">
        <f>VLOOKUP(A3171,Inventory!$A$4:$K$1139,2)</f>
        <v>Ethiopia Yirgacheffe Reko 2018</v>
      </c>
      <c r="F3171" s="34" t="s">
        <v>279</v>
      </c>
      <c r="G3171" s="2" t="s">
        <v>286</v>
      </c>
      <c r="L3171" s="17"/>
      <c r="M3171" s="17"/>
      <c r="P3171" s="8"/>
    </row>
    <row r="3172" spans="1:16" x14ac:dyDescent="0.35">
      <c r="E3172" s="56" t="s">
        <v>488</v>
      </c>
      <c r="F3172" s="53"/>
      <c r="G3172" s="62"/>
      <c r="J3172" s="2" t="s">
        <v>489</v>
      </c>
      <c r="L3172" s="19"/>
      <c r="M3172" s="19"/>
    </row>
    <row r="3173" spans="1:16" x14ac:dyDescent="0.35">
      <c r="B3173" s="20"/>
      <c r="C3173" s="11" t="s">
        <v>240</v>
      </c>
      <c r="D3173" s="11" t="s">
        <v>241</v>
      </c>
      <c r="E3173" s="11" t="s">
        <v>444</v>
      </c>
      <c r="F3173" s="11">
        <v>367</v>
      </c>
      <c r="G3173" s="11">
        <v>381</v>
      </c>
      <c r="H3173" s="11">
        <v>383</v>
      </c>
      <c r="I3173" s="11"/>
      <c r="J3173" s="11"/>
      <c r="K3173" s="11"/>
      <c r="L3173" s="28"/>
    </row>
    <row r="3174" spans="1:16" ht="15.75" customHeight="1" x14ac:dyDescent="0.35">
      <c r="B3174" s="20" t="s">
        <v>242</v>
      </c>
      <c r="C3174" s="30"/>
      <c r="D3174" s="30"/>
      <c r="E3174" s="23" t="s">
        <v>244</v>
      </c>
      <c r="F3174" s="23" t="s">
        <v>245</v>
      </c>
      <c r="G3174" s="23" t="s">
        <v>246</v>
      </c>
      <c r="H3174" s="23" t="s">
        <v>247</v>
      </c>
      <c r="I3174" s="23" t="s">
        <v>248</v>
      </c>
      <c r="O3174" s="4"/>
    </row>
    <row r="3175" spans="1:16" ht="1" customHeight="1" x14ac:dyDescent="0.35">
      <c r="B3175" s="24" t="s">
        <v>249</v>
      </c>
      <c r="C3175" s="25"/>
      <c r="D3175" s="25"/>
      <c r="E3175" s="25"/>
      <c r="F3175" s="25"/>
      <c r="G3175" s="25"/>
      <c r="H3175" s="25"/>
      <c r="I3175" s="25"/>
      <c r="O3175" t="e">
        <f>(O3173-3*O3172)/O3174</f>
        <v>#DIV/0!</v>
      </c>
    </row>
    <row r="3176" spans="1:16" ht="15.75" customHeight="1" x14ac:dyDescent="0.35">
      <c r="B3176" s="20" t="s">
        <v>250</v>
      </c>
      <c r="C3176" s="26">
        <v>0.20486111111111113</v>
      </c>
      <c r="D3176" s="26">
        <v>0.27777777777777779</v>
      </c>
      <c r="E3176" s="26">
        <v>0.34722222222222227</v>
      </c>
      <c r="F3176" s="26">
        <f>E3176+'Lookup Tables'!$N$1</f>
        <v>0.36805555555555558</v>
      </c>
      <c r="G3176" s="26">
        <f>F3176+'Lookup Tables'!$N$1</f>
        <v>0.3888888888888889</v>
      </c>
      <c r="H3176" s="26">
        <f>G3176+'Lookup Tables'!$N$1</f>
        <v>0.40972222222222221</v>
      </c>
      <c r="I3176" s="26">
        <f>H3176+'Lookup Tables'!$S$1</f>
        <v>0.4201388888888889</v>
      </c>
      <c r="N3176">
        <f>MAX(F3173:M3173)-O3176</f>
        <v>23</v>
      </c>
      <c r="O3176" t="str">
        <f>RIGHT(E3173,3)</f>
        <v>360</v>
      </c>
    </row>
    <row r="3177" spans="1:16" ht="15.75" customHeight="1" x14ac:dyDescent="0.35">
      <c r="B3177" s="20" t="s">
        <v>251</v>
      </c>
      <c r="C3177" s="27">
        <v>0.2</v>
      </c>
      <c r="D3177" s="27">
        <v>0.5</v>
      </c>
      <c r="E3177" s="27"/>
      <c r="F3177" s="27"/>
      <c r="G3177" s="27"/>
      <c r="H3177" s="25"/>
      <c r="I3177" s="27"/>
      <c r="N3177" t="str">
        <f xml:space="preserve">  N3176 &amp; " degrees this time"</f>
        <v>23 degrees this time</v>
      </c>
    </row>
    <row r="3178" spans="1:16" ht="15.75" customHeight="1" x14ac:dyDescent="0.35">
      <c r="B3178" s="20" t="s">
        <v>252</v>
      </c>
      <c r="C3178" s="27">
        <v>0.9</v>
      </c>
      <c r="D3178" s="27">
        <v>0.8</v>
      </c>
      <c r="E3178" s="27"/>
      <c r="F3178" s="27"/>
      <c r="G3178" s="27">
        <v>0.3</v>
      </c>
      <c r="H3178" s="27"/>
      <c r="I3178" s="27" t="s">
        <v>275</v>
      </c>
    </row>
    <row r="3179" spans="1:16" ht="15.75" customHeight="1" x14ac:dyDescent="0.35">
      <c r="B3179" s="20"/>
      <c r="C3179" s="30"/>
      <c r="D3179" s="11"/>
      <c r="E3179" s="1"/>
      <c r="F3179" s="11"/>
      <c r="G3179" s="11"/>
      <c r="H3179" s="11"/>
    </row>
    <row r="3180" spans="1:16" ht="15.75" customHeight="1" x14ac:dyDescent="0.35">
      <c r="B3180" s="38"/>
      <c r="D3180" s="11"/>
      <c r="E3180" s="11"/>
      <c r="F3180" s="11"/>
      <c r="G3180" s="1" t="s">
        <v>292</v>
      </c>
      <c r="K3180" s="9" t="s">
        <v>431</v>
      </c>
      <c r="L3180" s="9"/>
      <c r="M3180" s="9"/>
    </row>
    <row r="3181" spans="1:16" ht="15.75" customHeight="1" x14ac:dyDescent="0.35">
      <c r="B3181" s="20"/>
      <c r="G3181" s="1"/>
      <c r="H3181" s="1"/>
      <c r="K3181" s="9"/>
      <c r="L3181" s="9"/>
      <c r="M3181" s="9"/>
    </row>
    <row r="3182" spans="1:16" ht="15.75" customHeight="1" x14ac:dyDescent="0.35">
      <c r="B3182" s="20"/>
      <c r="G3182" s="1"/>
      <c r="H3182" s="1"/>
      <c r="K3182" s="9" t="s">
        <v>254</v>
      </c>
      <c r="L3182" s="9"/>
      <c r="M3182" s="9"/>
    </row>
    <row r="3183" spans="1:16" ht="15.75" customHeight="1" x14ac:dyDescent="0.35">
      <c r="B3183" s="9"/>
      <c r="C3183" s="9"/>
      <c r="D3183" s="9"/>
      <c r="E3183" s="9"/>
      <c r="F3183" s="12"/>
      <c r="G3183" s="12"/>
      <c r="H3183" s="12"/>
      <c r="I3183" s="12"/>
      <c r="J3183" s="12"/>
      <c r="K3183" s="12"/>
      <c r="L3183" s="1"/>
    </row>
    <row r="3184" spans="1:16" ht="15.75" customHeight="1" x14ac:dyDescent="0.35">
      <c r="B3184" s="13"/>
      <c r="C3184" s="13"/>
      <c r="D3184" s="15"/>
      <c r="G3184" s="16"/>
      <c r="H3184" s="14" t="s">
        <v>255</v>
      </c>
      <c r="I3184" s="14"/>
      <c r="L3184" s="2"/>
    </row>
    <row r="3185" spans="1:16" x14ac:dyDescent="0.35">
      <c r="B3185" s="13" t="s">
        <v>5</v>
      </c>
      <c r="C3185" s="13" t="s">
        <v>1</v>
      </c>
      <c r="D3185" s="15" t="str">
        <f>VLOOKUP(A3186,Inventory!$A$4:$K$1139,7)</f>
        <v>Royal coffee</v>
      </c>
      <c r="F3185" s="13" t="s">
        <v>235</v>
      </c>
      <c r="G3185" s="16"/>
      <c r="L3185" s="17"/>
      <c r="M3185" s="17"/>
    </row>
    <row r="3186" spans="1:16" x14ac:dyDescent="0.35">
      <c r="A3186">
        <v>141</v>
      </c>
      <c r="B3186" s="5">
        <v>44170</v>
      </c>
      <c r="C3186" s="15" t="str">
        <f>VLOOKUP(A3186,Inventory!$A$4:$K$1139,2)</f>
        <v>Yemen Al-Haymah Rooftop Raised Bed Natural 2017</v>
      </c>
      <c r="F3186" s="31" t="s">
        <v>291</v>
      </c>
      <c r="G3186" s="2" t="s">
        <v>286</v>
      </c>
      <c r="L3186" s="17"/>
      <c r="M3186" s="17"/>
      <c r="P3186" s="8"/>
    </row>
    <row r="3187" spans="1:16" x14ac:dyDescent="0.35">
      <c r="B3187" t="s">
        <v>16</v>
      </c>
      <c r="G3187" s="16"/>
      <c r="L3187" s="19"/>
      <c r="M3187" s="19"/>
    </row>
    <row r="3188" spans="1:16" x14ac:dyDescent="0.35">
      <c r="B3188" s="20"/>
      <c r="C3188" s="11" t="s">
        <v>240</v>
      </c>
      <c r="D3188" s="11" t="s">
        <v>272</v>
      </c>
      <c r="E3188" s="11" t="s">
        <v>490</v>
      </c>
      <c r="F3188" s="11">
        <v>388</v>
      </c>
      <c r="G3188" s="11">
        <v>395</v>
      </c>
      <c r="H3188" s="11">
        <v>400</v>
      </c>
      <c r="I3188" s="11">
        <v>402</v>
      </c>
      <c r="J3188" s="11" t="s">
        <v>313</v>
      </c>
      <c r="K3188" s="11"/>
      <c r="L3188" s="28"/>
    </row>
    <row r="3189" spans="1:16" ht="15.75" customHeight="1" x14ac:dyDescent="0.35">
      <c r="B3189" s="20" t="s">
        <v>242</v>
      </c>
      <c r="C3189" s="21"/>
      <c r="D3189" s="22" t="s">
        <v>294</v>
      </c>
      <c r="E3189" s="23" t="s">
        <v>244</v>
      </c>
      <c r="F3189" s="23" t="s">
        <v>245</v>
      </c>
      <c r="G3189" s="23" t="s">
        <v>246</v>
      </c>
      <c r="H3189" s="23" t="s">
        <v>273</v>
      </c>
      <c r="I3189" s="23" t="s">
        <v>247</v>
      </c>
      <c r="O3189" s="4"/>
    </row>
    <row r="3190" spans="1:16" ht="1" customHeight="1" x14ac:dyDescent="0.35">
      <c r="B3190" s="24" t="s">
        <v>249</v>
      </c>
      <c r="C3190" s="25">
        <v>320</v>
      </c>
      <c r="D3190" s="25">
        <v>350</v>
      </c>
      <c r="E3190" s="25"/>
      <c r="F3190" s="25"/>
      <c r="G3190" s="25"/>
      <c r="H3190" s="23" t="s">
        <v>247</v>
      </c>
      <c r="I3190" s="25"/>
      <c r="O3190" t="e">
        <f>(O3188-3*O3187)/O3189</f>
        <v>#DIV/0!</v>
      </c>
    </row>
    <row r="3191" spans="1:16" ht="15.75" customHeight="1" x14ac:dyDescent="0.35">
      <c r="B3191" s="20" t="s">
        <v>250</v>
      </c>
      <c r="C3191" s="26">
        <v>0.19444444444444445</v>
      </c>
      <c r="D3191" s="26">
        <v>0.28819444444444448</v>
      </c>
      <c r="E3191" s="26">
        <v>0.40625</v>
      </c>
      <c r="F3191" s="26">
        <f>E3191+'Lookup Tables'!$N$1</f>
        <v>0.42708333333333331</v>
      </c>
      <c r="G3191" s="26">
        <f>F3191+'Lookup Tables'!$N$1</f>
        <v>0.44791666666666663</v>
      </c>
      <c r="H3191" s="26">
        <f>G3191+'Lookup Tables'!$S$1</f>
        <v>0.45833333333333331</v>
      </c>
      <c r="I3191" s="26">
        <f>H3191+'Lookup Tables'!$S$1</f>
        <v>0.46875</v>
      </c>
      <c r="N3191">
        <f>MAX(F3188:M3188)-O3191</f>
        <v>22</v>
      </c>
      <c r="O3191" t="str">
        <f>RIGHT(E3188,3)</f>
        <v>380</v>
      </c>
    </row>
    <row r="3192" spans="1:16" ht="15.75" customHeight="1" x14ac:dyDescent="0.35">
      <c r="B3192" s="20" t="s">
        <v>251</v>
      </c>
      <c r="C3192" s="27">
        <v>0.2</v>
      </c>
      <c r="D3192" s="27">
        <v>0.5</v>
      </c>
      <c r="E3192" s="27"/>
      <c r="F3192" s="27"/>
      <c r="G3192" s="27">
        <v>0.25</v>
      </c>
      <c r="H3192" s="27"/>
      <c r="I3192" s="27"/>
      <c r="N3192" t="str">
        <f xml:space="preserve">  N3191 &amp; " degrees this time"</f>
        <v>22 degrees this time</v>
      </c>
    </row>
    <row r="3193" spans="1:16" ht="15.75" customHeight="1" x14ac:dyDescent="0.35">
      <c r="B3193" s="20" t="s">
        <v>252</v>
      </c>
      <c r="C3193" s="27">
        <v>0.9</v>
      </c>
      <c r="D3193" s="27">
        <v>0.7</v>
      </c>
      <c r="E3193" s="27">
        <v>0.6</v>
      </c>
      <c r="F3193" s="27"/>
      <c r="G3193" s="27"/>
      <c r="H3193" s="27"/>
      <c r="I3193" s="27" t="s">
        <v>275</v>
      </c>
    </row>
    <row r="3194" spans="1:16" ht="15.75" customHeight="1" x14ac:dyDescent="0.35">
      <c r="B3194" s="20"/>
      <c r="D3194" s="11"/>
      <c r="E3194" s="40"/>
      <c r="F3194" s="11"/>
      <c r="G3194" s="11"/>
    </row>
    <row r="3195" spans="1:16" ht="15.75" customHeight="1" x14ac:dyDescent="0.35">
      <c r="B3195" s="38"/>
      <c r="D3195" s="15"/>
      <c r="F3195" s="13"/>
      <c r="G3195" s="1" t="s">
        <v>296</v>
      </c>
      <c r="K3195" s="32" t="s">
        <v>377</v>
      </c>
      <c r="L3195" s="9"/>
      <c r="M3195" s="9"/>
    </row>
    <row r="3196" spans="1:16" ht="15.75" customHeight="1" x14ac:dyDescent="0.35">
      <c r="B3196" s="20"/>
      <c r="G3196" s="1"/>
      <c r="H3196" s="1"/>
      <c r="K3196" s="9"/>
      <c r="L3196" s="9"/>
      <c r="M3196" s="9"/>
    </row>
    <row r="3197" spans="1:16" ht="15.75" customHeight="1" x14ac:dyDescent="0.35">
      <c r="B3197" s="20"/>
      <c r="G3197" s="1"/>
      <c r="H3197" s="1"/>
      <c r="K3197" s="9" t="s">
        <v>297</v>
      </c>
      <c r="L3197" s="9"/>
      <c r="M3197" s="9"/>
    </row>
    <row r="3198" spans="1:16" ht="15.75" customHeight="1" x14ac:dyDescent="0.35">
      <c r="B3198" s="9"/>
      <c r="C3198" s="9"/>
      <c r="D3198" s="9"/>
      <c r="E3198" s="9"/>
      <c r="F3198" s="12"/>
      <c r="G3198" s="12"/>
      <c r="H3198" s="12"/>
      <c r="I3198" s="12"/>
      <c r="J3198" s="12"/>
      <c r="K3198" s="12"/>
      <c r="L3198" s="1"/>
    </row>
    <row r="3199" spans="1:16" ht="15.75" customHeight="1" x14ac:dyDescent="0.35">
      <c r="B3199" s="13"/>
      <c r="C3199" s="13"/>
      <c r="D3199" s="15"/>
    </row>
    <row r="3200" spans="1:16" x14ac:dyDescent="0.35">
      <c r="B3200" s="13" t="s">
        <v>5</v>
      </c>
      <c r="C3200" s="13" t="s">
        <v>1</v>
      </c>
      <c r="D3200" s="15" t="str">
        <f>VLOOKUP(A3201,Inventory!$A$4:$K$1139,7)</f>
        <v xml:space="preserve">GCBC                               </v>
      </c>
      <c r="F3200" s="13" t="s">
        <v>235</v>
      </c>
      <c r="G3200" s="16"/>
      <c r="L3200" s="17"/>
      <c r="M3200" s="17"/>
    </row>
    <row r="3201" spans="1:16" x14ac:dyDescent="0.35">
      <c r="A3201">
        <v>145</v>
      </c>
      <c r="B3201" s="5">
        <v>44156</v>
      </c>
      <c r="C3201" s="15" t="str">
        <f>VLOOKUP(A3201,Inventory!$A$4:$K$1139,2)</f>
        <v>Sumatra Harimau Tiger 2018</v>
      </c>
      <c r="E3201" s="11"/>
      <c r="F3201" s="34" t="s">
        <v>279</v>
      </c>
      <c r="G3201" s="2" t="s">
        <v>270</v>
      </c>
      <c r="J3201" s="8"/>
      <c r="L3201" s="17"/>
      <c r="M3201" s="17"/>
      <c r="P3201" s="8"/>
    </row>
    <row r="3202" spans="1:16" x14ac:dyDescent="0.35">
      <c r="B3202" s="13"/>
      <c r="C3202" s="13"/>
      <c r="D3202" s="11"/>
      <c r="F3202" s="13"/>
      <c r="G3202" s="16"/>
      <c r="K3202" s="1"/>
      <c r="L3202" s="19"/>
      <c r="M3202" s="19"/>
    </row>
    <row r="3203" spans="1:16" x14ac:dyDescent="0.35">
      <c r="B3203" s="20"/>
      <c r="C3203" s="11" t="s">
        <v>240</v>
      </c>
      <c r="D3203" s="11" t="s">
        <v>301</v>
      </c>
      <c r="E3203" s="11" t="s">
        <v>441</v>
      </c>
      <c r="F3203" s="11">
        <v>375</v>
      </c>
      <c r="G3203" s="11">
        <v>380</v>
      </c>
      <c r="H3203" s="11">
        <v>386</v>
      </c>
      <c r="I3203" s="11">
        <v>391</v>
      </c>
      <c r="J3203" s="11">
        <v>394</v>
      </c>
      <c r="K3203" s="11"/>
      <c r="L3203" s="11"/>
    </row>
    <row r="3204" spans="1:16" ht="15.75" customHeight="1" x14ac:dyDescent="0.35">
      <c r="B3204" s="20" t="s">
        <v>242</v>
      </c>
      <c r="C3204" s="21"/>
      <c r="D3204" s="22" t="s">
        <v>294</v>
      </c>
      <c r="E3204" s="23" t="s">
        <v>244</v>
      </c>
      <c r="F3204" s="23" t="s">
        <v>245</v>
      </c>
      <c r="G3204" s="23" t="s">
        <v>246</v>
      </c>
      <c r="H3204" s="23" t="s">
        <v>247</v>
      </c>
      <c r="I3204" s="23" t="s">
        <v>259</v>
      </c>
      <c r="J3204" s="23" t="s">
        <v>260</v>
      </c>
      <c r="O3204" s="4"/>
    </row>
    <row r="3205" spans="1:16" ht="1" customHeight="1" x14ac:dyDescent="0.35">
      <c r="B3205" s="24" t="s">
        <v>249</v>
      </c>
      <c r="C3205" s="25"/>
      <c r="D3205" s="25"/>
      <c r="E3205" s="25"/>
      <c r="F3205" s="25"/>
      <c r="G3205" s="25"/>
      <c r="H3205" s="25"/>
      <c r="I3205" s="25"/>
      <c r="J3205" s="25"/>
      <c r="O3205" t="e">
        <f>(O3203-3*O3202)/O3204</f>
        <v>#DIV/0!</v>
      </c>
    </row>
    <row r="3206" spans="1:16" ht="15.75" customHeight="1" x14ac:dyDescent="0.35">
      <c r="B3206" s="20" t="s">
        <v>250</v>
      </c>
      <c r="C3206" s="26">
        <v>0.24305555555555555</v>
      </c>
      <c r="D3206" s="26">
        <v>0.32291666666666669</v>
      </c>
      <c r="E3206" s="26">
        <v>0.41319444444444442</v>
      </c>
      <c r="F3206" s="26">
        <f>E3206+'Lookup Tables'!$N$1</f>
        <v>0.43402777777777773</v>
      </c>
      <c r="G3206" s="26">
        <f>F3206+'Lookup Tables'!$N$1</f>
        <v>0.45486111111111105</v>
      </c>
      <c r="H3206" s="26">
        <f>G3206+'Lookup Tables'!$N$1</f>
        <v>0.47569444444444436</v>
      </c>
      <c r="I3206" s="26">
        <f>H3206+'Lookup Tables'!$N$1</f>
        <v>0.49652777777777768</v>
      </c>
      <c r="J3206" s="26">
        <f>I3206+'Lookup Tables'!$S$1</f>
        <v>0.50694444444444431</v>
      </c>
      <c r="N3206">
        <f>MAX(F3203:M3203)-O3206</f>
        <v>25</v>
      </c>
      <c r="O3206" t="str">
        <f>RIGHT(E3203,3)</f>
        <v>369</v>
      </c>
    </row>
    <row r="3207" spans="1:16" ht="15.75" customHeight="1" x14ac:dyDescent="0.35">
      <c r="B3207" s="20" t="s">
        <v>251</v>
      </c>
      <c r="C3207" s="27">
        <v>0.2</v>
      </c>
      <c r="D3207" s="27">
        <v>0.5</v>
      </c>
      <c r="E3207" s="27"/>
      <c r="F3207" s="27"/>
      <c r="G3207" s="27"/>
      <c r="H3207" s="27"/>
      <c r="I3207" s="27"/>
      <c r="J3207" s="27"/>
      <c r="N3207" t="str">
        <f xml:space="preserve">  N3206 &amp; " degrees this time"</f>
        <v>25 degrees this time</v>
      </c>
    </row>
    <row r="3208" spans="1:16" ht="15.75" customHeight="1" x14ac:dyDescent="0.35">
      <c r="B3208" s="20" t="s">
        <v>252</v>
      </c>
      <c r="C3208" s="27">
        <v>0.9</v>
      </c>
      <c r="D3208" s="27">
        <v>0.7</v>
      </c>
      <c r="E3208" s="27">
        <v>0.4</v>
      </c>
      <c r="F3208" s="27" t="s">
        <v>274</v>
      </c>
      <c r="G3208" s="27"/>
      <c r="H3208" s="27"/>
      <c r="I3208" s="27"/>
      <c r="J3208" s="27"/>
    </row>
    <row r="3209" spans="1:16" ht="15.75" customHeight="1" x14ac:dyDescent="0.35">
      <c r="B3209" s="20"/>
      <c r="D3209" s="11"/>
      <c r="E3209" s="11"/>
      <c r="F3209" s="11"/>
      <c r="G3209" s="11"/>
      <c r="H3209" s="11"/>
      <c r="I3209" s="11"/>
      <c r="J3209" s="37"/>
      <c r="K3209" s="37"/>
      <c r="L3209" s="35"/>
    </row>
    <row r="3210" spans="1:16" ht="15.75" customHeight="1" x14ac:dyDescent="0.35">
      <c r="B3210" s="38"/>
      <c r="E3210" s="11"/>
      <c r="G3210" s="1" t="s">
        <v>317</v>
      </c>
      <c r="H3210" s="1"/>
      <c r="K3210" s="32"/>
      <c r="L3210" s="9"/>
      <c r="M3210" s="9"/>
    </row>
    <row r="3211" spans="1:16" ht="15.75" customHeight="1" x14ac:dyDescent="0.35">
      <c r="B3211" s="20"/>
      <c r="G3211" s="1"/>
      <c r="H3211" s="1"/>
      <c r="K3211" s="32"/>
      <c r="L3211" s="9"/>
      <c r="M3211" s="9"/>
    </row>
    <row r="3212" spans="1:16" ht="15.75" customHeight="1" x14ac:dyDescent="0.35">
      <c r="B3212" s="20"/>
      <c r="G3212" s="1"/>
      <c r="H3212" s="1"/>
      <c r="K3212" s="9" t="s">
        <v>300</v>
      </c>
      <c r="L3212" s="9"/>
      <c r="M3212" s="9"/>
    </row>
    <row r="3213" spans="1:16" ht="15.75" customHeight="1" x14ac:dyDescent="0.35">
      <c r="B3213" s="9"/>
      <c r="C3213" s="9"/>
      <c r="D3213" s="9"/>
      <c r="E3213" s="9"/>
      <c r="F3213" s="12"/>
      <c r="G3213" s="12"/>
      <c r="H3213" s="12"/>
      <c r="I3213" s="12"/>
      <c r="J3213" s="12"/>
      <c r="K3213" s="12"/>
      <c r="L3213" s="1"/>
    </row>
    <row r="3214" spans="1:16" ht="15.75" customHeight="1" x14ac:dyDescent="0.35">
      <c r="B3214" s="13"/>
      <c r="C3214" s="13"/>
      <c r="D3214" s="15"/>
      <c r="F3214" s="33" t="s">
        <v>473</v>
      </c>
      <c r="G3214" s="13"/>
      <c r="H3214" s="14" t="s">
        <v>255</v>
      </c>
      <c r="I3214" s="13"/>
      <c r="J3214" s="1"/>
    </row>
    <row r="3215" spans="1:16" x14ac:dyDescent="0.35">
      <c r="B3215" s="13" t="s">
        <v>5</v>
      </c>
      <c r="C3215" s="13" t="s">
        <v>1</v>
      </c>
      <c r="D3215" s="15" t="str">
        <f>VLOOKUP(A3216,Inventory!$A$4:$K$1139,7)</f>
        <v xml:space="preserve">Klatch                             </v>
      </c>
      <c r="F3215" s="13" t="s">
        <v>235</v>
      </c>
      <c r="G3215" s="16"/>
      <c r="L3215" s="17"/>
      <c r="M3215" s="17"/>
    </row>
    <row r="3216" spans="1:16" x14ac:dyDescent="0.35">
      <c r="A3216">
        <v>163</v>
      </c>
      <c r="B3216" s="5">
        <v>44156</v>
      </c>
      <c r="C3216" s="15" t="str">
        <f>VLOOKUP(A3216,Inventory!$A$4:$K$1139,2)</f>
        <v>Guatemala Antigua Hunapu Micro Lot 2020</v>
      </c>
      <c r="E3216" s="11"/>
      <c r="F3216" s="31" t="s">
        <v>291</v>
      </c>
      <c r="G3216" s="2" t="s">
        <v>286</v>
      </c>
      <c r="L3216" s="17"/>
      <c r="M3216" s="17"/>
      <c r="P3216" s="8"/>
    </row>
    <row r="3217" spans="1:16" x14ac:dyDescent="0.35">
      <c r="B3217" s="13"/>
      <c r="C3217" s="13"/>
      <c r="D3217" s="11"/>
      <c r="F3217" s="13"/>
      <c r="G3217" s="16"/>
      <c r="I3217" s="1"/>
      <c r="L3217" s="19"/>
      <c r="M3217" s="19"/>
    </row>
    <row r="3218" spans="1:16" x14ac:dyDescent="0.35">
      <c r="B3218" s="20"/>
      <c r="C3218" s="11" t="s">
        <v>240</v>
      </c>
      <c r="D3218" s="11" t="s">
        <v>241</v>
      </c>
      <c r="E3218" s="11" t="s">
        <v>319</v>
      </c>
      <c r="F3218" s="11">
        <v>379</v>
      </c>
      <c r="G3218" s="11">
        <v>382</v>
      </c>
      <c r="H3218" s="11">
        <v>390</v>
      </c>
      <c r="I3218" s="11">
        <v>395</v>
      </c>
      <c r="J3218" s="11"/>
      <c r="K3218" s="11"/>
      <c r="L3218" s="11"/>
    </row>
    <row r="3219" spans="1:16" ht="15.75" customHeight="1" x14ac:dyDescent="0.35">
      <c r="B3219" s="20" t="s">
        <v>242</v>
      </c>
      <c r="C3219" s="30"/>
      <c r="D3219" s="30"/>
      <c r="E3219" s="23" t="s">
        <v>244</v>
      </c>
      <c r="F3219" s="23" t="s">
        <v>245</v>
      </c>
      <c r="G3219" s="23" t="s">
        <v>246</v>
      </c>
      <c r="H3219" s="23" t="s">
        <v>247</v>
      </c>
      <c r="I3219" s="23" t="s">
        <v>248</v>
      </c>
      <c r="O3219" s="4"/>
    </row>
    <row r="3220" spans="1:16" ht="1" customHeight="1" x14ac:dyDescent="0.35">
      <c r="B3220" s="24" t="s">
        <v>249</v>
      </c>
      <c r="C3220" s="25"/>
      <c r="D3220" s="25"/>
      <c r="E3220" s="25"/>
      <c r="F3220" s="25"/>
      <c r="G3220" s="25"/>
      <c r="H3220" s="25"/>
      <c r="I3220" s="25"/>
      <c r="O3220" t="e">
        <f>(O3218-3*O3217)/O3219</f>
        <v>#DIV/0!</v>
      </c>
    </row>
    <row r="3221" spans="1:16" ht="15.75" customHeight="1" x14ac:dyDescent="0.35">
      <c r="B3221" s="20" t="s">
        <v>250</v>
      </c>
      <c r="C3221" s="26">
        <v>0.18055555555555555</v>
      </c>
      <c r="D3221" s="26">
        <v>0.25</v>
      </c>
      <c r="E3221" s="26">
        <v>0.34722222222222227</v>
      </c>
      <c r="F3221" s="26">
        <f>E3221+'Lookup Tables'!$N$1</f>
        <v>0.36805555555555558</v>
      </c>
      <c r="G3221" s="26">
        <f>F3221+'Lookup Tables'!$N$1</f>
        <v>0.3888888888888889</v>
      </c>
      <c r="H3221" s="26">
        <f>G3221+'Lookup Tables'!$N$1</f>
        <v>0.40972222222222221</v>
      </c>
      <c r="I3221" s="26">
        <f>H3221+'Lookup Tables'!$S$1</f>
        <v>0.4201388888888889</v>
      </c>
      <c r="N3221" s="63">
        <f>MAX(F3218:M3218)-O3221</f>
        <v>22</v>
      </c>
      <c r="O3221" s="63" t="str">
        <f>RIGHT(E3218,3)</f>
        <v>373</v>
      </c>
    </row>
    <row r="3222" spans="1:16" ht="15.75" customHeight="1" x14ac:dyDescent="0.35">
      <c r="B3222" s="20" t="s">
        <v>251</v>
      </c>
      <c r="C3222" s="27">
        <v>0.2</v>
      </c>
      <c r="D3222" s="27">
        <v>0.5</v>
      </c>
      <c r="E3222" s="27"/>
      <c r="F3222" s="27"/>
      <c r="G3222" s="27"/>
      <c r="H3222" s="27"/>
      <c r="I3222" s="25"/>
      <c r="N3222" s="63" t="str">
        <f xml:space="preserve">  N3221 &amp; " degrees this time"</f>
        <v>22 degrees this time</v>
      </c>
      <c r="O3222" s="63"/>
    </row>
    <row r="3223" spans="1:16" ht="15.75" customHeight="1" x14ac:dyDescent="0.35">
      <c r="B3223" s="20" t="s">
        <v>252</v>
      </c>
      <c r="C3223" s="27">
        <v>0.9</v>
      </c>
      <c r="D3223" s="27">
        <v>0.8</v>
      </c>
      <c r="E3223" s="27">
        <v>0.8</v>
      </c>
      <c r="F3223" s="27"/>
      <c r="G3223" s="27">
        <v>0.6</v>
      </c>
      <c r="H3223" s="27">
        <v>0.4</v>
      </c>
      <c r="I3223" s="27" t="s">
        <v>275</v>
      </c>
    </row>
    <row r="3224" spans="1:16" ht="15.75" customHeight="1" x14ac:dyDescent="0.35">
      <c r="B3224" s="20"/>
      <c r="D3224" s="11"/>
      <c r="E3224" s="11"/>
      <c r="F3224" s="11"/>
      <c r="G3224" s="40"/>
      <c r="H3224" s="11"/>
      <c r="I3224" s="11"/>
      <c r="J3224" s="37"/>
      <c r="K3224" s="32" t="s">
        <v>491</v>
      </c>
      <c r="L3224" s="9"/>
      <c r="M3224" s="9"/>
    </row>
    <row r="3225" spans="1:16" ht="15.75" customHeight="1" x14ac:dyDescent="0.35">
      <c r="B3225" s="38"/>
      <c r="G3225" s="1" t="s">
        <v>492</v>
      </c>
      <c r="H3225" s="1"/>
      <c r="K3225" s="32" t="s">
        <v>493</v>
      </c>
      <c r="L3225" s="9"/>
      <c r="M3225" s="9"/>
    </row>
    <row r="3226" spans="1:16" ht="15.75" customHeight="1" x14ac:dyDescent="0.35">
      <c r="B3226" s="20"/>
      <c r="G3226" s="1"/>
      <c r="H3226" s="1"/>
      <c r="K3226" s="32" t="s">
        <v>494</v>
      </c>
      <c r="L3226" s="9"/>
      <c r="M3226" s="9"/>
    </row>
    <row r="3227" spans="1:16" ht="15.75" customHeight="1" x14ac:dyDescent="0.35">
      <c r="B3227" s="20"/>
      <c r="G3227" s="1"/>
      <c r="H3227" s="1"/>
      <c r="K3227" s="9" t="s">
        <v>300</v>
      </c>
      <c r="L3227" s="9"/>
      <c r="M3227" s="9"/>
    </row>
    <row r="3228" spans="1:16" ht="15.75" customHeight="1" x14ac:dyDescent="0.35">
      <c r="B3228" s="9"/>
      <c r="C3228" s="9"/>
      <c r="D3228" s="9"/>
      <c r="E3228" s="9"/>
      <c r="F3228" s="12"/>
      <c r="G3228" s="12"/>
      <c r="H3228" s="12"/>
      <c r="I3228" s="12"/>
      <c r="J3228" s="12"/>
      <c r="K3228" s="12"/>
      <c r="L3228" s="1"/>
    </row>
    <row r="3229" spans="1:16" ht="15.75" customHeight="1" x14ac:dyDescent="0.35">
      <c r="B3229" s="13"/>
      <c r="C3229" s="13"/>
      <c r="D3229" s="13"/>
      <c r="E3229" s="13"/>
      <c r="F3229" s="33" t="s">
        <v>473</v>
      </c>
      <c r="G3229" s="13"/>
      <c r="I3229" s="13"/>
    </row>
    <row r="3230" spans="1:16" x14ac:dyDescent="0.35">
      <c r="B3230" s="13" t="s">
        <v>5</v>
      </c>
      <c r="C3230" s="13" t="s">
        <v>1</v>
      </c>
      <c r="D3230" s="15" t="str">
        <f>VLOOKUP(A3231,Inventory!$A$4:$K$1139,7)</f>
        <v xml:space="preserve">Klatch                             </v>
      </c>
      <c r="F3230" s="13" t="s">
        <v>235</v>
      </c>
      <c r="G3230" s="16"/>
      <c r="L3230" s="17"/>
      <c r="M3230" s="17"/>
    </row>
    <row r="3231" spans="1:16" x14ac:dyDescent="0.35">
      <c r="A3231">
        <v>161</v>
      </c>
      <c r="B3231" s="5">
        <v>44156</v>
      </c>
      <c r="C3231" s="15" t="str">
        <f>VLOOKUP(A3231,Inventory!$A$4:$K$1139,2)</f>
        <v>Colombia Nariño Organic 2020</v>
      </c>
      <c r="E3231" s="11"/>
      <c r="F3231" s="34" t="s">
        <v>279</v>
      </c>
      <c r="G3231" s="2" t="s">
        <v>286</v>
      </c>
      <c r="L3231" s="17"/>
      <c r="M3231" s="17"/>
      <c r="P3231" s="8"/>
    </row>
    <row r="3232" spans="1:16" x14ac:dyDescent="0.35">
      <c r="D3232" s="11"/>
      <c r="E3232" s="11"/>
      <c r="G3232" s="16"/>
      <c r="L3232" s="19"/>
      <c r="M3232" s="19"/>
    </row>
    <row r="3233" spans="1:16" x14ac:dyDescent="0.35">
      <c r="B3233" s="20"/>
      <c r="C3233" s="11" t="s">
        <v>240</v>
      </c>
      <c r="D3233" s="11" t="s">
        <v>272</v>
      </c>
      <c r="E3233" s="11" t="s">
        <v>426</v>
      </c>
      <c r="F3233" s="11">
        <v>376</v>
      </c>
      <c r="G3233" s="11">
        <v>384</v>
      </c>
      <c r="H3233" s="11">
        <v>393</v>
      </c>
      <c r="I3233" s="11">
        <v>397</v>
      </c>
      <c r="J3233" s="11" t="s">
        <v>312</v>
      </c>
      <c r="K3233" s="11"/>
      <c r="L3233" s="11"/>
    </row>
    <row r="3234" spans="1:16" ht="15.75" customHeight="1" x14ac:dyDescent="0.35">
      <c r="B3234" s="20" t="s">
        <v>242</v>
      </c>
      <c r="C3234" s="21"/>
      <c r="D3234" s="22" t="s">
        <v>294</v>
      </c>
      <c r="E3234" s="23" t="s">
        <v>244</v>
      </c>
      <c r="F3234" s="23" t="s">
        <v>245</v>
      </c>
      <c r="G3234" s="23" t="s">
        <v>246</v>
      </c>
      <c r="H3234" s="23" t="s">
        <v>247</v>
      </c>
      <c r="I3234" s="23" t="s">
        <v>248</v>
      </c>
      <c r="O3234" s="4"/>
    </row>
    <row r="3235" spans="1:16" ht="1" customHeight="1" x14ac:dyDescent="0.35">
      <c r="B3235" s="24" t="s">
        <v>249</v>
      </c>
      <c r="C3235" s="25"/>
      <c r="D3235" s="25"/>
      <c r="E3235" s="25"/>
      <c r="F3235" s="25"/>
      <c r="G3235" s="25"/>
      <c r="H3235" s="25"/>
      <c r="I3235" s="25"/>
      <c r="O3235" t="e">
        <f>(O3233-3*O3232)/O3234</f>
        <v>#DIV/0!</v>
      </c>
    </row>
    <row r="3236" spans="1:16" ht="15.75" customHeight="1" x14ac:dyDescent="0.35">
      <c r="B3236" s="20" t="s">
        <v>250</v>
      </c>
      <c r="C3236" s="26">
        <v>0.20833333333333334</v>
      </c>
      <c r="D3236" s="26">
        <v>0.2951388888888889</v>
      </c>
      <c r="E3236" s="26">
        <v>0.37847222222222227</v>
      </c>
      <c r="F3236" s="26">
        <f>E3236+'Lookup Tables'!$N$1</f>
        <v>0.39930555555555558</v>
      </c>
      <c r="G3236" s="26">
        <f>F3236+'Lookup Tables'!$N$1</f>
        <v>0.4201388888888889</v>
      </c>
      <c r="H3236" s="26">
        <f>G3236+'Lookup Tables'!$N$1</f>
        <v>0.44097222222222221</v>
      </c>
      <c r="I3236" s="26">
        <f>H3236+'Lookup Tables'!$S$1</f>
        <v>0.4513888888888889</v>
      </c>
      <c r="N3236">
        <f>MAX(F3233:M3233)-O3236</f>
        <v>27</v>
      </c>
      <c r="O3236" t="str">
        <f>RIGHT(E3233,3)</f>
        <v>370</v>
      </c>
    </row>
    <row r="3237" spans="1:16" ht="15.75" customHeight="1" x14ac:dyDescent="0.35">
      <c r="B3237" s="20" t="s">
        <v>251</v>
      </c>
      <c r="C3237" s="27">
        <v>0.2</v>
      </c>
      <c r="D3237" s="27">
        <v>0.5</v>
      </c>
      <c r="E3237" s="27"/>
      <c r="F3237" s="27"/>
      <c r="G3237" s="27"/>
      <c r="H3237" s="27"/>
      <c r="I3237" s="25"/>
      <c r="N3237" t="str">
        <f xml:space="preserve">  N3236 &amp; " degrees this time"</f>
        <v>27 degrees this time</v>
      </c>
    </row>
    <row r="3238" spans="1:16" ht="15.75" customHeight="1" x14ac:dyDescent="0.35">
      <c r="B3238" s="20" t="s">
        <v>252</v>
      </c>
      <c r="C3238" s="27">
        <v>0.9</v>
      </c>
      <c r="D3238" s="27">
        <v>0.8</v>
      </c>
      <c r="E3238" s="27">
        <v>0.7</v>
      </c>
      <c r="F3238" s="27"/>
      <c r="G3238" s="27"/>
      <c r="H3238" s="27"/>
      <c r="I3238" s="27" t="s">
        <v>275</v>
      </c>
    </row>
    <row r="3239" spans="1:16" ht="15.75" customHeight="1" x14ac:dyDescent="0.35">
      <c r="B3239" s="20"/>
      <c r="D3239" s="11"/>
      <c r="E3239" s="11"/>
      <c r="F3239" s="11"/>
      <c r="G3239" s="11"/>
      <c r="H3239" s="35"/>
    </row>
    <row r="3240" spans="1:16" ht="15.75" customHeight="1" x14ac:dyDescent="0.35">
      <c r="B3240" s="20"/>
      <c r="G3240" s="1" t="s">
        <v>331</v>
      </c>
      <c r="K3240" s="32" t="s">
        <v>332</v>
      </c>
      <c r="L3240" s="9"/>
      <c r="M3240" s="9"/>
    </row>
    <row r="3241" spans="1:16" ht="15.75" customHeight="1" x14ac:dyDescent="0.35">
      <c r="B3241" s="30"/>
      <c r="G3241" s="1"/>
      <c r="H3241" s="1"/>
      <c r="K3241" s="9"/>
      <c r="L3241" s="9"/>
      <c r="M3241" s="9"/>
    </row>
    <row r="3242" spans="1:16" ht="15.75" customHeight="1" x14ac:dyDescent="0.35">
      <c r="B3242" s="30"/>
      <c r="G3242" s="1"/>
      <c r="H3242" s="1"/>
      <c r="K3242" s="9" t="s">
        <v>300</v>
      </c>
      <c r="L3242" s="9"/>
      <c r="M3242" s="9"/>
    </row>
    <row r="3243" spans="1:16" ht="15.75" customHeight="1" x14ac:dyDescent="0.35">
      <c r="B3243" s="9"/>
      <c r="C3243" s="9"/>
      <c r="D3243" s="9"/>
      <c r="E3243" s="9"/>
      <c r="F3243" s="12"/>
      <c r="G3243" s="12"/>
      <c r="H3243" s="12"/>
      <c r="I3243" s="12"/>
      <c r="J3243" s="12"/>
      <c r="K3243" s="12"/>
      <c r="L3243" s="1"/>
    </row>
    <row r="3244" spans="1:16" ht="15.75" customHeight="1" x14ac:dyDescent="0.35">
      <c r="B3244" s="13"/>
      <c r="C3244" s="13"/>
      <c r="D3244" s="13"/>
      <c r="E3244" s="13"/>
      <c r="F3244" s="13"/>
      <c r="G3244" s="13"/>
      <c r="H3244" s="13"/>
      <c r="I3244" s="13"/>
    </row>
    <row r="3245" spans="1:16" x14ac:dyDescent="0.35">
      <c r="B3245" s="13" t="s">
        <v>5</v>
      </c>
      <c r="C3245" s="13" t="s">
        <v>1</v>
      </c>
      <c r="D3245" s="15" t="str">
        <f>VLOOKUP(A3246,Inventory!$A$4:$K$1139,7)</f>
        <v>Coffee Bean corral</v>
      </c>
      <c r="F3245" s="13" t="s">
        <v>235</v>
      </c>
      <c r="G3245" s="16"/>
      <c r="L3245" s="17"/>
      <c r="M3245" s="17"/>
    </row>
    <row r="3246" spans="1:16" x14ac:dyDescent="0.35">
      <c r="A3246">
        <v>152</v>
      </c>
      <c r="B3246" s="5">
        <v>44129</v>
      </c>
      <c r="C3246" s="15" t="str">
        <f>VLOOKUP(A3246,Inventory!$A$4:$K$1139,2)</f>
        <v>Nicaragua Organic Jinotega Finca La Isabelia 2018</v>
      </c>
      <c r="E3246" s="11"/>
      <c r="F3246" s="34" t="s">
        <v>279</v>
      </c>
      <c r="G3246" s="2" t="s">
        <v>286</v>
      </c>
      <c r="L3246" s="17"/>
      <c r="M3246" s="17"/>
      <c r="P3246" s="8"/>
    </row>
    <row r="3247" spans="1:16" x14ac:dyDescent="0.35">
      <c r="D3247" s="11"/>
      <c r="E3247" s="11"/>
      <c r="G3247" s="16"/>
      <c r="L3247" s="19"/>
      <c r="M3247" s="19"/>
    </row>
    <row r="3248" spans="1:16" x14ac:dyDescent="0.35">
      <c r="B3248" s="20"/>
      <c r="C3248" s="11" t="s">
        <v>240</v>
      </c>
      <c r="D3248" s="11" t="s">
        <v>395</v>
      </c>
      <c r="E3248" s="11" t="s">
        <v>447</v>
      </c>
      <c r="F3248" s="11">
        <v>381</v>
      </c>
      <c r="G3248" s="11">
        <v>389</v>
      </c>
      <c r="H3248" s="11">
        <v>394</v>
      </c>
      <c r="I3248" s="11" t="s">
        <v>495</v>
      </c>
      <c r="J3248" s="11"/>
      <c r="K3248" s="28"/>
      <c r="L3248" s="28"/>
    </row>
    <row r="3249" spans="1:16" ht="15.75" customHeight="1" x14ac:dyDescent="0.35">
      <c r="B3249" s="20" t="s">
        <v>242</v>
      </c>
      <c r="C3249" s="21"/>
      <c r="D3249" s="22" t="s">
        <v>442</v>
      </c>
      <c r="E3249" s="23" t="s">
        <v>244</v>
      </c>
      <c r="F3249" s="23" t="s">
        <v>245</v>
      </c>
      <c r="G3249" s="23" t="s">
        <v>246</v>
      </c>
      <c r="H3249" s="23" t="s">
        <v>247</v>
      </c>
      <c r="O3249" s="4"/>
    </row>
    <row r="3250" spans="1:16" ht="1" customHeight="1" x14ac:dyDescent="0.35">
      <c r="B3250" s="24" t="s">
        <v>249</v>
      </c>
      <c r="C3250" s="25"/>
      <c r="D3250" s="25"/>
      <c r="E3250" s="25"/>
      <c r="F3250" s="25"/>
      <c r="G3250" s="25"/>
      <c r="H3250" s="25"/>
      <c r="O3250" t="e">
        <f>(O3248-3*O3247)/O3249</f>
        <v>#DIV/0!</v>
      </c>
    </row>
    <row r="3251" spans="1:16" ht="15.75" customHeight="1" x14ac:dyDescent="0.35">
      <c r="B3251" s="20" t="s">
        <v>250</v>
      </c>
      <c r="C3251" s="26">
        <v>0.21527777777777779</v>
      </c>
      <c r="D3251" s="26">
        <v>0.28472222222222221</v>
      </c>
      <c r="E3251" s="26">
        <v>0.3923611111111111</v>
      </c>
      <c r="F3251" s="26">
        <f>E3251+'Lookup Tables'!$N$1</f>
        <v>0.41319444444444442</v>
      </c>
      <c r="G3251" s="26">
        <f>F3251+'Lookup Tables'!$N$1</f>
        <v>0.43402777777777773</v>
      </c>
      <c r="H3251" s="26">
        <f>G3251+'Lookup Tables'!$S$1</f>
        <v>0.44444444444444442</v>
      </c>
      <c r="I3251" s="11"/>
      <c r="J3251" s="11"/>
      <c r="K3251" s="11"/>
      <c r="N3251">
        <f>MAX(F3248:M3248)-O3251</f>
        <v>20</v>
      </c>
      <c r="O3251" t="str">
        <f>RIGHT(E3248,3)</f>
        <v>374</v>
      </c>
    </row>
    <row r="3252" spans="1:16" ht="15.75" customHeight="1" x14ac:dyDescent="0.35">
      <c r="B3252" s="20" t="s">
        <v>251</v>
      </c>
      <c r="C3252" s="27">
        <v>0.2</v>
      </c>
      <c r="D3252" s="27">
        <v>0.5</v>
      </c>
      <c r="E3252" s="27"/>
      <c r="F3252" s="27"/>
      <c r="G3252" s="27" t="s">
        <v>274</v>
      </c>
      <c r="H3252" s="27"/>
      <c r="N3252" t="str">
        <f xml:space="preserve">  N3251 &amp; " degrees this time"</f>
        <v>20 degrees this time</v>
      </c>
    </row>
    <row r="3253" spans="1:16" ht="15.75" customHeight="1" x14ac:dyDescent="0.35">
      <c r="B3253" s="20" t="s">
        <v>252</v>
      </c>
      <c r="C3253" s="27">
        <v>0.9</v>
      </c>
      <c r="D3253" s="27">
        <v>0.7</v>
      </c>
      <c r="E3253" s="27">
        <v>0.6</v>
      </c>
      <c r="F3253" s="27"/>
      <c r="G3253" s="27"/>
      <c r="H3253" s="27" t="s">
        <v>275</v>
      </c>
    </row>
    <row r="3254" spans="1:16" ht="15.75" customHeight="1" x14ac:dyDescent="0.35">
      <c r="B3254" s="20"/>
      <c r="D3254" s="11"/>
      <c r="E3254" s="11"/>
      <c r="F3254" s="11"/>
      <c r="H3254" s="55"/>
    </row>
    <row r="3255" spans="1:16" ht="15.75" customHeight="1" x14ac:dyDescent="0.35">
      <c r="B3255" s="20"/>
      <c r="G3255" s="1" t="s">
        <v>496</v>
      </c>
      <c r="K3255" s="32" t="s">
        <v>497</v>
      </c>
      <c r="L3255" s="9"/>
      <c r="M3255" s="9"/>
    </row>
    <row r="3256" spans="1:16" ht="15.75" customHeight="1" x14ac:dyDescent="0.35">
      <c r="B3256" s="30"/>
      <c r="G3256" s="1"/>
      <c r="H3256" s="1"/>
      <c r="K3256" s="32"/>
      <c r="L3256" s="9"/>
      <c r="M3256" s="9"/>
    </row>
    <row r="3257" spans="1:16" ht="15.75" customHeight="1" x14ac:dyDescent="0.35">
      <c r="B3257" s="30"/>
      <c r="G3257" s="1"/>
      <c r="H3257" s="1"/>
      <c r="K3257" s="32" t="s">
        <v>254</v>
      </c>
      <c r="L3257" s="9"/>
      <c r="M3257" s="9"/>
    </row>
    <row r="3258" spans="1:16" ht="15.75" customHeight="1" x14ac:dyDescent="0.35">
      <c r="B3258" s="9"/>
      <c r="C3258" s="9"/>
      <c r="D3258" s="9"/>
      <c r="E3258" s="9"/>
      <c r="F3258" s="12"/>
      <c r="G3258" s="12"/>
      <c r="H3258" s="12"/>
      <c r="I3258" s="12"/>
      <c r="J3258" s="12"/>
      <c r="K3258" s="12"/>
      <c r="L3258" s="1"/>
    </row>
    <row r="3259" spans="1:16" ht="15.75" customHeight="1" x14ac:dyDescent="0.35">
      <c r="B3259" s="13"/>
      <c r="C3259" s="13"/>
      <c r="D3259" s="13"/>
      <c r="E3259" s="13"/>
      <c r="F3259" s="13"/>
      <c r="G3259" s="13"/>
      <c r="H3259" s="14" t="s">
        <v>255</v>
      </c>
      <c r="I3259" s="13"/>
    </row>
    <row r="3260" spans="1:16" x14ac:dyDescent="0.35">
      <c r="B3260" s="13" t="s">
        <v>5</v>
      </c>
      <c r="C3260" s="13" t="s">
        <v>1</v>
      </c>
      <c r="D3260" s="15" t="str">
        <f>VLOOKUP(A3261,Inventory!$A$4:$K$1139,7)</f>
        <v xml:space="preserve">Klatch                             </v>
      </c>
      <c r="F3260" s="13" t="s">
        <v>235</v>
      </c>
      <c r="G3260" s="16"/>
      <c r="L3260" s="17"/>
      <c r="M3260" s="17"/>
    </row>
    <row r="3261" spans="1:16" x14ac:dyDescent="0.35">
      <c r="A3261">
        <v>154</v>
      </c>
      <c r="B3261" s="5">
        <v>44129</v>
      </c>
      <c r="C3261" s="15" t="str">
        <f>VLOOKUP(A3261,Inventory!$A$4:$K$1139,2)</f>
        <v>Panama Elida Natural 2019</v>
      </c>
      <c r="F3261" s="31" t="s">
        <v>291</v>
      </c>
      <c r="G3261" s="2" t="s">
        <v>270</v>
      </c>
      <c r="L3261" s="17"/>
      <c r="M3261" s="17"/>
      <c r="P3261" s="8"/>
    </row>
    <row r="3262" spans="1:16" x14ac:dyDescent="0.35">
      <c r="F3262" s="13"/>
      <c r="G3262" s="16"/>
      <c r="L3262" s="19"/>
      <c r="M3262" s="19"/>
    </row>
    <row r="3263" spans="1:16" x14ac:dyDescent="0.35">
      <c r="B3263" s="20"/>
      <c r="C3263" s="11" t="s">
        <v>240</v>
      </c>
      <c r="D3263" s="11" t="s">
        <v>272</v>
      </c>
      <c r="E3263" s="11" t="s">
        <v>440</v>
      </c>
      <c r="F3263" s="11">
        <v>379</v>
      </c>
      <c r="G3263" s="11">
        <v>386</v>
      </c>
      <c r="H3263" s="11">
        <v>388</v>
      </c>
      <c r="I3263" s="11"/>
      <c r="J3263" s="11"/>
      <c r="K3263" s="28"/>
      <c r="L3263" s="28"/>
    </row>
    <row r="3264" spans="1:16" ht="15.75" customHeight="1" x14ac:dyDescent="0.35">
      <c r="B3264" s="20" t="s">
        <v>242</v>
      </c>
      <c r="C3264" s="30"/>
      <c r="D3264" s="30"/>
      <c r="E3264" s="23" t="s">
        <v>244</v>
      </c>
      <c r="F3264" s="23" t="s">
        <v>245</v>
      </c>
      <c r="G3264" s="23" t="s">
        <v>246</v>
      </c>
      <c r="H3264" s="23" t="s">
        <v>273</v>
      </c>
      <c r="O3264" s="4"/>
    </row>
    <row r="3265" spans="1:16" ht="1" customHeight="1" x14ac:dyDescent="0.35">
      <c r="B3265" s="24" t="s">
        <v>249</v>
      </c>
      <c r="C3265" s="25"/>
      <c r="D3265" s="25"/>
      <c r="E3265" s="25"/>
      <c r="F3265" s="25"/>
      <c r="G3265" s="25"/>
      <c r="H3265" s="25"/>
      <c r="O3265" t="e">
        <f>(O3263-3*O3262)/O3264</f>
        <v>#DIV/0!</v>
      </c>
    </row>
    <row r="3266" spans="1:16" ht="15.75" customHeight="1" x14ac:dyDescent="0.35">
      <c r="B3266" s="20" t="s">
        <v>250</v>
      </c>
      <c r="C3266" s="26">
        <v>0.19444444444444445</v>
      </c>
      <c r="D3266" s="26">
        <v>0.27777777777777779</v>
      </c>
      <c r="E3266" s="26">
        <v>0.36458333333333331</v>
      </c>
      <c r="F3266" s="26">
        <f>E3266+'Lookup Tables'!$N$1</f>
        <v>0.38541666666666663</v>
      </c>
      <c r="G3266" s="26">
        <f>F3266+'Lookup Tables'!$N$1</f>
        <v>0.40624999999999994</v>
      </c>
      <c r="H3266" s="26">
        <f>G3266+'Lookup Tables'!$S$1</f>
        <v>0.41666666666666663</v>
      </c>
      <c r="N3266">
        <f>MAX(F3263:M3263)-O3266</f>
        <v>16</v>
      </c>
      <c r="O3266" t="str">
        <f>RIGHT(E3263,3)</f>
        <v>372</v>
      </c>
    </row>
    <row r="3267" spans="1:16" ht="15.75" customHeight="1" x14ac:dyDescent="0.35">
      <c r="B3267" s="20" t="s">
        <v>251</v>
      </c>
      <c r="C3267" s="27">
        <v>0.2</v>
      </c>
      <c r="D3267" s="27">
        <v>0.5</v>
      </c>
      <c r="E3267" s="27">
        <v>0.5</v>
      </c>
      <c r="F3267" s="27" t="s">
        <v>274</v>
      </c>
      <c r="G3267" s="27"/>
      <c r="H3267" s="25"/>
      <c r="N3267" t="str">
        <f xml:space="preserve">  N3266 &amp; " degrees this time"</f>
        <v>16 degrees this time</v>
      </c>
    </row>
    <row r="3268" spans="1:16" ht="15.75" customHeight="1" x14ac:dyDescent="0.35">
      <c r="B3268" s="20" t="s">
        <v>252</v>
      </c>
      <c r="C3268" s="27">
        <v>0.9</v>
      </c>
      <c r="D3268" s="27">
        <v>0.7</v>
      </c>
      <c r="E3268" s="27">
        <v>0.6</v>
      </c>
      <c r="F3268" s="27" t="s">
        <v>274</v>
      </c>
      <c r="G3268" s="27"/>
      <c r="H3268" s="27" t="s">
        <v>275</v>
      </c>
    </row>
    <row r="3269" spans="1:16" ht="15.75" customHeight="1" x14ac:dyDescent="0.35">
      <c r="B3269" s="20"/>
      <c r="D3269" s="11"/>
      <c r="E3269" s="11"/>
      <c r="F3269" s="11"/>
    </row>
    <row r="3270" spans="1:16" ht="15.75" customHeight="1" x14ac:dyDescent="0.35">
      <c r="B3270" s="20"/>
      <c r="C3270" s="30"/>
      <c r="D3270" s="11"/>
      <c r="E3270" s="11"/>
      <c r="F3270" s="11"/>
      <c r="G3270" s="1" t="s">
        <v>276</v>
      </c>
      <c r="K3270" s="9" t="s">
        <v>498</v>
      </c>
      <c r="L3270" s="9"/>
      <c r="M3270" s="9"/>
    </row>
    <row r="3271" spans="1:16" ht="15.75" customHeight="1" x14ac:dyDescent="0.35">
      <c r="B3271" s="20"/>
      <c r="G3271" s="1"/>
      <c r="H3271" s="1"/>
      <c r="K3271" s="9"/>
      <c r="L3271" s="9"/>
      <c r="M3271" s="9"/>
    </row>
    <row r="3272" spans="1:16" ht="15.75" customHeight="1" x14ac:dyDescent="0.35">
      <c r="B3272" s="20"/>
      <c r="G3272" s="1"/>
      <c r="H3272" s="1"/>
      <c r="K3272" s="32" t="s">
        <v>277</v>
      </c>
      <c r="L3272" s="9"/>
      <c r="M3272" s="9"/>
    </row>
    <row r="3273" spans="1:16" ht="15.75" customHeight="1" x14ac:dyDescent="0.35">
      <c r="B3273" s="9"/>
      <c r="C3273" s="9"/>
      <c r="D3273" s="9"/>
      <c r="E3273" s="9"/>
      <c r="F3273" s="12"/>
      <c r="G3273" s="12"/>
      <c r="H3273" s="12"/>
      <c r="I3273" s="12"/>
      <c r="J3273" s="12"/>
      <c r="K3273" s="12"/>
      <c r="L3273" s="1"/>
    </row>
    <row r="3274" spans="1:16" ht="15.75" customHeight="1" x14ac:dyDescent="0.35">
      <c r="B3274" s="13"/>
      <c r="C3274" s="13"/>
      <c r="D3274" s="15"/>
      <c r="F3274" s="33" t="s">
        <v>326</v>
      </c>
      <c r="G3274" s="16"/>
      <c r="H3274" s="14" t="s">
        <v>255</v>
      </c>
    </row>
    <row r="3275" spans="1:16" x14ac:dyDescent="0.35">
      <c r="B3275" s="13" t="s">
        <v>5</v>
      </c>
      <c r="C3275" s="13" t="s">
        <v>1</v>
      </c>
      <c r="D3275" s="15" t="str">
        <f>VLOOKUP(A3276,Inventory!$A$4:$K$1139,7)</f>
        <v>Leverhead Coffee</v>
      </c>
      <c r="F3275" s="13" t="s">
        <v>235</v>
      </c>
      <c r="G3275" s="16"/>
      <c r="L3275" s="17"/>
      <c r="M3275" s="17"/>
    </row>
    <row r="3276" spans="1:16" x14ac:dyDescent="0.35">
      <c r="A3276">
        <v>144</v>
      </c>
      <c r="B3276" s="5">
        <v>44129</v>
      </c>
      <c r="C3276" s="15" t="str">
        <f>VLOOKUP(A3276,Inventory!$A$4:$K$1139,2)</f>
        <v>Rwanda Abakundakawa 2018</v>
      </c>
      <c r="F3276" s="31" t="s">
        <v>291</v>
      </c>
      <c r="G3276" s="2" t="s">
        <v>270</v>
      </c>
      <c r="L3276" s="17"/>
      <c r="M3276" s="17"/>
      <c r="P3276" s="8"/>
    </row>
    <row r="3277" spans="1:16" x14ac:dyDescent="0.35">
      <c r="L3277" s="19"/>
      <c r="M3277" s="19"/>
    </row>
    <row r="3278" spans="1:16" x14ac:dyDescent="0.35">
      <c r="B3278" s="20"/>
      <c r="C3278" s="11" t="s">
        <v>240</v>
      </c>
      <c r="D3278" s="11" t="s">
        <v>272</v>
      </c>
      <c r="E3278" s="11" t="s">
        <v>450</v>
      </c>
      <c r="F3278" s="11">
        <v>381</v>
      </c>
      <c r="G3278" s="11">
        <v>388</v>
      </c>
      <c r="H3278" s="11">
        <v>396</v>
      </c>
      <c r="I3278" s="11">
        <v>402</v>
      </c>
      <c r="J3278" s="11"/>
      <c r="K3278" s="28"/>
      <c r="L3278" s="28"/>
    </row>
    <row r="3279" spans="1:16" ht="15.75" customHeight="1" x14ac:dyDescent="0.35">
      <c r="A3279" t="s">
        <v>16</v>
      </c>
      <c r="B3279" s="20" t="s">
        <v>242</v>
      </c>
      <c r="C3279" s="30"/>
      <c r="D3279" s="30"/>
      <c r="E3279" s="23" t="s">
        <v>244</v>
      </c>
      <c r="F3279" s="23" t="s">
        <v>245</v>
      </c>
      <c r="G3279" s="23" t="s">
        <v>246</v>
      </c>
      <c r="H3279" s="23" t="s">
        <v>247</v>
      </c>
      <c r="I3279" s="23" t="s">
        <v>259</v>
      </c>
      <c r="J3279" s="23" t="s">
        <v>260</v>
      </c>
      <c r="O3279" s="4"/>
    </row>
    <row r="3280" spans="1:16" ht="1" customHeight="1" x14ac:dyDescent="0.35">
      <c r="B3280" s="24" t="s">
        <v>249</v>
      </c>
      <c r="C3280" s="25"/>
      <c r="D3280" s="25"/>
      <c r="E3280" s="25">
        <v>388</v>
      </c>
      <c r="F3280" s="25">
        <v>393</v>
      </c>
      <c r="G3280" s="25">
        <v>397</v>
      </c>
      <c r="H3280" s="25">
        <v>401</v>
      </c>
      <c r="I3280" s="25"/>
      <c r="K3280" t="s">
        <v>280</v>
      </c>
      <c r="L3280" t="s">
        <v>280</v>
      </c>
      <c r="O3280" t="e">
        <f>(O3278-3*O3277)/O3279</f>
        <v>#DIV/0!</v>
      </c>
    </row>
    <row r="3281" spans="1:16" ht="15.75" customHeight="1" x14ac:dyDescent="0.35">
      <c r="B3281" s="20" t="s">
        <v>250</v>
      </c>
      <c r="C3281" s="26">
        <v>0.19791666666666666</v>
      </c>
      <c r="D3281" s="26">
        <v>0.28472222222222221</v>
      </c>
      <c r="E3281" s="26">
        <v>0.37847222222222227</v>
      </c>
      <c r="F3281" s="26">
        <f>E3281+'Lookup Tables'!$N$1</f>
        <v>0.39930555555555558</v>
      </c>
      <c r="G3281" s="26">
        <f>F3281+'Lookup Tables'!$N$1</f>
        <v>0.4201388888888889</v>
      </c>
      <c r="H3281" s="26">
        <f>G3281+'Lookup Tables'!$N$1</f>
        <v>0.44097222222222221</v>
      </c>
      <c r="I3281" s="26">
        <f>H3281+'Lookup Tables'!$N$1</f>
        <v>0.46180555555555552</v>
      </c>
      <c r="J3281" s="26">
        <f>I3281+'Lookup Tables'!$M$1</f>
        <v>0.47222222222222221</v>
      </c>
      <c r="N3281">
        <f>MAX(F3278:M3278)-O3281</f>
        <v>27</v>
      </c>
      <c r="O3281" t="str">
        <f>RIGHT(E3278,3)</f>
        <v>375</v>
      </c>
    </row>
    <row r="3282" spans="1:16" ht="15.75" customHeight="1" x14ac:dyDescent="0.35">
      <c r="B3282" s="20" t="s">
        <v>251</v>
      </c>
      <c r="C3282" s="27">
        <v>0.2</v>
      </c>
      <c r="D3282" s="27">
        <v>0.5</v>
      </c>
      <c r="E3282" s="27"/>
      <c r="F3282" s="27"/>
      <c r="G3282" s="27" t="s">
        <v>274</v>
      </c>
      <c r="H3282" s="27"/>
      <c r="I3282" s="27"/>
      <c r="J3282" s="27"/>
      <c r="N3282" t="str">
        <f xml:space="preserve">  N3281 &amp; " degrees this time"</f>
        <v>27 degrees this time</v>
      </c>
    </row>
    <row r="3283" spans="1:16" ht="15.75" customHeight="1" x14ac:dyDescent="0.35">
      <c r="B3283" s="20" t="s">
        <v>252</v>
      </c>
      <c r="C3283" s="27">
        <v>0.9</v>
      </c>
      <c r="D3283" s="27">
        <v>0.8</v>
      </c>
      <c r="E3283" s="27">
        <v>0.5</v>
      </c>
      <c r="F3283" s="27">
        <v>0.3</v>
      </c>
      <c r="G3283" s="27" t="s">
        <v>274</v>
      </c>
      <c r="H3283" s="27"/>
      <c r="I3283" s="27" t="s">
        <v>275</v>
      </c>
      <c r="J3283" s="27" t="s">
        <v>275</v>
      </c>
    </row>
    <row r="3284" spans="1:16" ht="15.75" customHeight="1" x14ac:dyDescent="0.35">
      <c r="B3284" s="20"/>
      <c r="C3284" s="30"/>
      <c r="D3284" s="11"/>
      <c r="E3284" s="11"/>
      <c r="F3284" s="11"/>
      <c r="H3284" s="2"/>
      <c r="J3284" s="35"/>
      <c r="K3284" s="35"/>
    </row>
    <row r="3285" spans="1:16" ht="15.75" customHeight="1" x14ac:dyDescent="0.35">
      <c r="G3285" s="1" t="s">
        <v>418</v>
      </c>
      <c r="K3285" s="32" t="s">
        <v>446</v>
      </c>
      <c r="L3285" s="9"/>
      <c r="M3285" s="9"/>
    </row>
    <row r="3286" spans="1:16" ht="15.75" customHeight="1" x14ac:dyDescent="0.35">
      <c r="B3286" s="20"/>
      <c r="G3286" s="1"/>
      <c r="H3286" s="1"/>
      <c r="K3286" s="9"/>
      <c r="L3286" s="9"/>
      <c r="M3286" s="9"/>
    </row>
    <row r="3287" spans="1:16" ht="15.75" customHeight="1" x14ac:dyDescent="0.35">
      <c r="B3287" s="20"/>
      <c r="G3287" s="1"/>
      <c r="H3287" s="1"/>
      <c r="K3287" s="32" t="s">
        <v>254</v>
      </c>
      <c r="L3287" s="9"/>
      <c r="M3287" s="9"/>
    </row>
    <row r="3288" spans="1:16" ht="15.75" customHeight="1" x14ac:dyDescent="0.35">
      <c r="B3288" s="9"/>
      <c r="C3288" s="9"/>
      <c r="D3288" s="9"/>
      <c r="E3288" s="9"/>
      <c r="F3288" s="12"/>
      <c r="G3288" s="12"/>
      <c r="H3288" s="12"/>
      <c r="I3288" s="12"/>
      <c r="J3288" s="12"/>
      <c r="K3288" s="12"/>
      <c r="L3288" s="1"/>
    </row>
    <row r="3289" spans="1:16" ht="15.75" customHeight="1" x14ac:dyDescent="0.35">
      <c r="B3289" s="13"/>
      <c r="C3289" s="13"/>
      <c r="D3289" s="13"/>
      <c r="E3289" s="13"/>
      <c r="F3289" s="33" t="s">
        <v>473</v>
      </c>
      <c r="G3289" s="13"/>
      <c r="I3289" s="14"/>
    </row>
    <row r="3290" spans="1:16" x14ac:dyDescent="0.35">
      <c r="B3290" s="13" t="s">
        <v>5</v>
      </c>
      <c r="C3290" s="13" t="s">
        <v>1</v>
      </c>
      <c r="D3290" s="15" t="str">
        <f>VLOOKUP(A3291,Inventory!$A$4:$K$1139,7)</f>
        <v xml:space="preserve">Klatch                             </v>
      </c>
      <c r="F3290" s="13" t="s">
        <v>235</v>
      </c>
      <c r="G3290" s="16"/>
      <c r="L3290" s="17"/>
      <c r="M3290" s="17"/>
    </row>
    <row r="3291" spans="1:16" x14ac:dyDescent="0.35">
      <c r="A3291">
        <v>162</v>
      </c>
      <c r="B3291" s="5">
        <v>44129</v>
      </c>
      <c r="C3291" s="15" t="str">
        <f>VLOOKUP(A3291,Inventory!$A$4:$K$1139,2)</f>
        <v>El Salvador Las Mercedes Caturra 2020</v>
      </c>
      <c r="F3291" s="34" t="s">
        <v>279</v>
      </c>
      <c r="G3291" s="2" t="s">
        <v>270</v>
      </c>
      <c r="L3291" s="17"/>
      <c r="M3291" s="17"/>
      <c r="P3291" s="8"/>
    </row>
    <row r="3292" spans="1:16" x14ac:dyDescent="0.35">
      <c r="D3292" s="64" t="s">
        <v>499</v>
      </c>
      <c r="L3292" s="19"/>
      <c r="M3292" s="19"/>
    </row>
    <row r="3293" spans="1:16" x14ac:dyDescent="0.35">
      <c r="B3293" s="20"/>
      <c r="C3293" s="11" t="s">
        <v>240</v>
      </c>
      <c r="D3293" s="43" t="s">
        <v>272</v>
      </c>
      <c r="E3293" s="11" t="s">
        <v>432</v>
      </c>
      <c r="F3293" s="11">
        <v>371</v>
      </c>
      <c r="G3293" s="11">
        <v>377</v>
      </c>
      <c r="H3293" s="11">
        <v>385</v>
      </c>
      <c r="I3293" s="11">
        <v>391</v>
      </c>
      <c r="J3293" s="11"/>
      <c r="K3293" s="28"/>
      <c r="L3293" s="28"/>
    </row>
    <row r="3294" spans="1:16" ht="15.75" customHeight="1" x14ac:dyDescent="0.35">
      <c r="B3294" s="20" t="s">
        <v>242</v>
      </c>
      <c r="C3294" s="21"/>
      <c r="D3294" s="22" t="s">
        <v>294</v>
      </c>
      <c r="E3294" s="23" t="s">
        <v>244</v>
      </c>
      <c r="F3294" s="23" t="s">
        <v>245</v>
      </c>
      <c r="G3294" s="23" t="s">
        <v>246</v>
      </c>
      <c r="H3294" s="23" t="s">
        <v>247</v>
      </c>
      <c r="I3294" s="23" t="s">
        <v>248</v>
      </c>
      <c r="J3294" s="23" t="s">
        <v>259</v>
      </c>
      <c r="O3294" s="4"/>
    </row>
    <row r="3295" spans="1:16" ht="1" customHeight="1" x14ac:dyDescent="0.35">
      <c r="B3295" s="24" t="s">
        <v>249</v>
      </c>
      <c r="C3295" s="25"/>
      <c r="D3295" s="25"/>
      <c r="E3295" s="25">
        <v>384</v>
      </c>
      <c r="F3295" s="25">
        <v>392</v>
      </c>
      <c r="G3295" s="25">
        <v>395</v>
      </c>
      <c r="H3295" s="25"/>
      <c r="I3295" s="25"/>
      <c r="J3295" s="25">
        <v>415</v>
      </c>
      <c r="O3295" t="e">
        <f>(O3293-3*O3292)/O3294</f>
        <v>#DIV/0!</v>
      </c>
    </row>
    <row r="3296" spans="1:16" ht="15.75" customHeight="1" x14ac:dyDescent="0.35">
      <c r="B3296" s="20" t="s">
        <v>250</v>
      </c>
      <c r="C3296" s="26">
        <v>0.22569444444444445</v>
      </c>
      <c r="D3296" s="26">
        <v>0.30902777777777779</v>
      </c>
      <c r="E3296" s="26">
        <v>0.37152777777777773</v>
      </c>
      <c r="F3296" s="26">
        <f>E3296+'Lookup Tables'!$N$1</f>
        <v>0.39236111111111105</v>
      </c>
      <c r="G3296" s="26">
        <f>F3296+'Lookup Tables'!$N$1</f>
        <v>0.41319444444444436</v>
      </c>
      <c r="H3296" s="26">
        <f>G3296+'Lookup Tables'!$N$1</f>
        <v>0.43402777777777768</v>
      </c>
      <c r="I3296" s="26">
        <f>H3296+'Lookup Tables'!$S$1</f>
        <v>0.44444444444444436</v>
      </c>
      <c r="J3296" s="26">
        <f>I3296+'Lookup Tables'!$M$1</f>
        <v>0.45486111111111105</v>
      </c>
      <c r="N3296">
        <f>MAX(F3293:M3293)-O3296</f>
        <v>28</v>
      </c>
      <c r="O3296" t="str">
        <f>RIGHT(E3293,3)</f>
        <v>363</v>
      </c>
    </row>
    <row r="3297" spans="1:16" ht="15.75" customHeight="1" x14ac:dyDescent="0.35">
      <c r="B3297" s="20" t="s">
        <v>251</v>
      </c>
      <c r="C3297" s="27">
        <v>0.2</v>
      </c>
      <c r="D3297" s="27">
        <v>0.5</v>
      </c>
      <c r="E3297" s="27"/>
      <c r="F3297" s="27" t="s">
        <v>274</v>
      </c>
      <c r="G3297" s="27"/>
      <c r="H3297" s="27"/>
      <c r="I3297" s="27"/>
      <c r="J3297" s="27"/>
      <c r="N3297" t="str">
        <f xml:space="preserve">  N3296 &amp; " degrees this time"</f>
        <v>28 degrees this time</v>
      </c>
    </row>
    <row r="3298" spans="1:16" ht="15.75" customHeight="1" x14ac:dyDescent="0.35">
      <c r="B3298" s="20" t="s">
        <v>252</v>
      </c>
      <c r="C3298" s="27">
        <v>0.9</v>
      </c>
      <c r="D3298" s="27">
        <v>0.8</v>
      </c>
      <c r="E3298" s="27">
        <v>0.5</v>
      </c>
      <c r="F3298" s="27" t="s">
        <v>274</v>
      </c>
      <c r="G3298" s="27"/>
      <c r="H3298" s="27"/>
      <c r="I3298" s="27" t="s">
        <v>275</v>
      </c>
      <c r="J3298" s="27" t="s">
        <v>275</v>
      </c>
    </row>
    <row r="3299" spans="1:16" ht="15.75" customHeight="1" x14ac:dyDescent="0.35">
      <c r="B3299" s="20"/>
      <c r="C3299" s="30"/>
      <c r="F3299" s="40"/>
      <c r="H3299" s="13"/>
      <c r="I3299" s="13"/>
      <c r="J3299" s="35"/>
    </row>
    <row r="3300" spans="1:16" ht="15.75" customHeight="1" x14ac:dyDescent="0.35">
      <c r="C3300" s="30"/>
      <c r="G3300" s="1" t="s">
        <v>478</v>
      </c>
      <c r="K3300" s="32" t="s">
        <v>500</v>
      </c>
      <c r="L3300" s="9"/>
      <c r="M3300" s="9"/>
    </row>
    <row r="3301" spans="1:16" ht="15.75" customHeight="1" x14ac:dyDescent="0.35">
      <c r="B3301" s="20"/>
      <c r="G3301" s="1"/>
      <c r="H3301" s="1"/>
      <c r="K3301" s="9"/>
      <c r="L3301" s="9"/>
      <c r="M3301" s="9"/>
    </row>
    <row r="3302" spans="1:16" ht="15.75" customHeight="1" x14ac:dyDescent="0.35">
      <c r="B3302" s="20"/>
      <c r="G3302" s="1"/>
      <c r="H3302" s="1"/>
      <c r="K3302" s="32" t="s">
        <v>277</v>
      </c>
      <c r="L3302" s="9"/>
      <c r="M3302" s="9"/>
    </row>
    <row r="3303" spans="1:16" ht="15.75" customHeight="1" x14ac:dyDescent="0.35">
      <c r="B3303" s="9"/>
      <c r="C3303" s="9"/>
      <c r="D3303" s="9"/>
      <c r="E3303" s="9"/>
      <c r="F3303" s="12"/>
      <c r="G3303" s="12"/>
      <c r="H3303" s="12"/>
      <c r="I3303" s="12"/>
      <c r="J3303" s="12"/>
      <c r="K3303" s="12"/>
      <c r="L3303" s="1"/>
    </row>
    <row r="3304" spans="1:16" ht="15.75" customHeight="1" x14ac:dyDescent="0.35">
      <c r="B3304" s="13"/>
      <c r="C3304" s="13"/>
      <c r="D3304" s="15"/>
      <c r="F3304" s="33" t="s">
        <v>473</v>
      </c>
      <c r="H3304" s="14" t="s">
        <v>255</v>
      </c>
    </row>
    <row r="3305" spans="1:16" x14ac:dyDescent="0.35">
      <c r="B3305" s="13" t="s">
        <v>5</v>
      </c>
      <c r="C3305" s="13" t="s">
        <v>1</v>
      </c>
      <c r="D3305" s="15" t="str">
        <f>VLOOKUP(A3306,Inventory!$A$4:$K$1139,7)</f>
        <v xml:space="preserve">Sweet Marias                       </v>
      </c>
      <c r="F3305" s="13" t="s">
        <v>235</v>
      </c>
      <c r="G3305" s="16"/>
      <c r="L3305" s="17"/>
      <c r="M3305" s="17"/>
    </row>
    <row r="3306" spans="1:16" x14ac:dyDescent="0.35">
      <c r="A3306">
        <v>158</v>
      </c>
      <c r="B3306" s="5">
        <v>44106</v>
      </c>
      <c r="C3306" s="15" t="str">
        <f>VLOOKUP(A3306,Inventory!$A$4:$K$1139,2)</f>
        <v>Ethiopia Organic Sidama Keramo 2020</v>
      </c>
      <c r="E3306" s="11"/>
      <c r="F3306" s="31" t="s">
        <v>291</v>
      </c>
      <c r="G3306" s="2" t="s">
        <v>286</v>
      </c>
      <c r="L3306" s="17"/>
      <c r="M3306" s="17"/>
      <c r="P3306" s="8"/>
    </row>
    <row r="3307" spans="1:16" x14ac:dyDescent="0.35">
      <c r="D3307" s="11"/>
      <c r="E3307" s="11"/>
      <c r="G3307" s="16"/>
      <c r="L3307" s="19"/>
      <c r="M3307" s="19"/>
    </row>
    <row r="3308" spans="1:16" x14ac:dyDescent="0.35">
      <c r="B3308" s="20"/>
      <c r="C3308" s="11" t="s">
        <v>240</v>
      </c>
      <c r="D3308" s="11" t="s">
        <v>272</v>
      </c>
      <c r="E3308" s="11" t="s">
        <v>450</v>
      </c>
      <c r="F3308" s="11">
        <v>381</v>
      </c>
      <c r="G3308" s="11">
        <v>386</v>
      </c>
      <c r="H3308" s="11">
        <v>391</v>
      </c>
      <c r="I3308" s="11">
        <v>395</v>
      </c>
      <c r="J3308" s="11">
        <v>398</v>
      </c>
      <c r="K3308" s="11"/>
      <c r="L3308" s="28"/>
    </row>
    <row r="3309" spans="1:16" ht="15.75" customHeight="1" x14ac:dyDescent="0.35">
      <c r="B3309" s="20" t="s">
        <v>242</v>
      </c>
      <c r="C3309" s="30"/>
      <c r="D3309" s="30"/>
      <c r="E3309" s="23" t="s">
        <v>244</v>
      </c>
      <c r="F3309" s="23" t="s">
        <v>245</v>
      </c>
      <c r="G3309" s="23" t="s">
        <v>246</v>
      </c>
      <c r="H3309" s="23" t="s">
        <v>247</v>
      </c>
      <c r="I3309" s="23" t="s">
        <v>248</v>
      </c>
      <c r="J3309" s="23" t="s">
        <v>259</v>
      </c>
      <c r="O3309" s="4"/>
    </row>
    <row r="3310" spans="1:16" ht="1" customHeight="1" x14ac:dyDescent="0.35">
      <c r="B3310" s="24" t="s">
        <v>249</v>
      </c>
      <c r="C3310" s="25"/>
      <c r="D3310" s="25"/>
      <c r="E3310" s="25"/>
      <c r="F3310" s="25"/>
      <c r="G3310" s="25"/>
      <c r="H3310" s="25"/>
      <c r="I3310" s="25"/>
      <c r="J3310" s="25"/>
      <c r="O3310" t="e">
        <f>(O3308-3*O3307)/O3309</f>
        <v>#DIV/0!</v>
      </c>
    </row>
    <row r="3311" spans="1:16" ht="15.75" customHeight="1" x14ac:dyDescent="0.35">
      <c r="B3311" s="20" t="s">
        <v>250</v>
      </c>
      <c r="C3311" s="26" t="s">
        <v>501</v>
      </c>
      <c r="D3311" s="26">
        <v>0.26041666666666669</v>
      </c>
      <c r="E3311" s="26">
        <v>0.35069444444444442</v>
      </c>
      <c r="F3311" s="26">
        <f>E3311+'Lookup Tables'!$N$1</f>
        <v>0.37152777777777773</v>
      </c>
      <c r="G3311" s="26">
        <f>F3311+'Lookup Tables'!$N$1</f>
        <v>0.39236111111111105</v>
      </c>
      <c r="H3311" s="26">
        <f>G3311+'Lookup Tables'!$N$1</f>
        <v>0.41319444444444436</v>
      </c>
      <c r="I3311" s="26">
        <f>H3311+'Lookup Tables'!$S$1</f>
        <v>0.42361111111111105</v>
      </c>
      <c r="J3311" s="26">
        <f>I3311+'Lookup Tables'!$S$1</f>
        <v>0.43402777777777773</v>
      </c>
      <c r="N3311">
        <f>MAX(F3308:M3308)-O3311</f>
        <v>23</v>
      </c>
      <c r="O3311" t="str">
        <f>RIGHT(E3308,3)</f>
        <v>375</v>
      </c>
    </row>
    <row r="3312" spans="1:16" ht="15.75" customHeight="1" x14ac:dyDescent="0.35">
      <c r="B3312" s="20" t="s">
        <v>251</v>
      </c>
      <c r="C3312" s="27">
        <v>0.2</v>
      </c>
      <c r="D3312" s="27">
        <v>0.5</v>
      </c>
      <c r="E3312" s="27"/>
      <c r="F3312" s="27"/>
      <c r="G3312" s="27"/>
      <c r="H3312" s="27"/>
      <c r="I3312" s="27"/>
      <c r="J3312" s="27"/>
      <c r="N3312" t="str">
        <f xml:space="preserve">  N3311 &amp; " degrees this time"</f>
        <v>23 degrees this time</v>
      </c>
    </row>
    <row r="3313" spans="1:16" ht="15.75" customHeight="1" x14ac:dyDescent="0.35">
      <c r="B3313" s="20" t="s">
        <v>252</v>
      </c>
      <c r="C3313" s="27">
        <v>0.9</v>
      </c>
      <c r="D3313" s="27">
        <v>0.7</v>
      </c>
      <c r="E3313" s="27"/>
      <c r="F3313" s="27">
        <v>0.5</v>
      </c>
      <c r="G3313" s="27"/>
      <c r="H3313" s="27"/>
      <c r="I3313" s="27" t="s">
        <v>275</v>
      </c>
      <c r="J3313" s="27" t="s">
        <v>275</v>
      </c>
      <c r="K3313" s="12" t="s">
        <v>502</v>
      </c>
      <c r="L3313" s="9"/>
      <c r="M3313" s="9"/>
    </row>
    <row r="3314" spans="1:16" ht="15.75" customHeight="1" x14ac:dyDescent="0.35">
      <c r="B3314" s="20"/>
      <c r="F3314" s="1"/>
      <c r="K3314" s="12" t="s">
        <v>503</v>
      </c>
      <c r="L3314" s="9"/>
      <c r="M3314" s="9"/>
    </row>
    <row r="3315" spans="1:16" ht="15.75" customHeight="1" x14ac:dyDescent="0.35">
      <c r="B3315" s="20"/>
      <c r="G3315" s="1" t="s">
        <v>504</v>
      </c>
      <c r="K3315" s="32" t="s">
        <v>369</v>
      </c>
      <c r="L3315" s="9"/>
      <c r="M3315" s="9"/>
    </row>
    <row r="3316" spans="1:16" ht="15.75" customHeight="1" x14ac:dyDescent="0.35">
      <c r="B3316" s="20"/>
      <c r="G3316" s="1"/>
      <c r="H3316" s="1"/>
      <c r="K3316" s="12"/>
      <c r="L3316" s="9"/>
      <c r="M3316" s="9"/>
    </row>
    <row r="3317" spans="1:16" ht="15.75" customHeight="1" x14ac:dyDescent="0.35">
      <c r="B3317" s="20"/>
      <c r="G3317" s="1"/>
      <c r="H3317" s="1"/>
      <c r="K3317" s="9" t="s">
        <v>300</v>
      </c>
      <c r="L3317" s="9"/>
      <c r="M3317" s="9"/>
    </row>
    <row r="3318" spans="1:16" ht="15.75" customHeight="1" x14ac:dyDescent="0.35">
      <c r="B3318" s="9"/>
      <c r="C3318" s="9"/>
      <c r="D3318" s="9"/>
      <c r="E3318" s="9"/>
      <c r="F3318" s="12"/>
      <c r="G3318" s="12"/>
      <c r="H3318" s="12"/>
      <c r="I3318" s="12"/>
      <c r="J3318" s="12"/>
      <c r="K3318" s="12"/>
      <c r="L3318" s="1"/>
    </row>
    <row r="3319" spans="1:16" ht="15.75" customHeight="1" x14ac:dyDescent="0.35">
      <c r="B3319" s="13"/>
      <c r="C3319" s="13"/>
      <c r="D3319" s="15"/>
      <c r="F3319" s="33" t="s">
        <v>326</v>
      </c>
      <c r="H3319" s="14" t="s">
        <v>255</v>
      </c>
    </row>
    <row r="3320" spans="1:16" x14ac:dyDescent="0.35">
      <c r="B3320" s="13" t="s">
        <v>5</v>
      </c>
      <c r="C3320" s="13" t="s">
        <v>1</v>
      </c>
      <c r="D3320" s="15" t="str">
        <f>VLOOKUP(A3321,Inventory!$A$4:$K$1139,7)</f>
        <v xml:space="preserve">GCBC                               </v>
      </c>
      <c r="F3320" s="13" t="s">
        <v>235</v>
      </c>
      <c r="G3320" s="16"/>
      <c r="L3320" s="17"/>
      <c r="M3320" s="17"/>
    </row>
    <row r="3321" spans="1:16" x14ac:dyDescent="0.35">
      <c r="A3321">
        <v>146</v>
      </c>
      <c r="B3321" s="5">
        <v>44106</v>
      </c>
      <c r="C3321" s="15" t="str">
        <f>VLOOKUP(A3321,Inventory!$A$4:$K$1139,2)</f>
        <v>Ethiopia Hambela Guji Oromia Guracho 2018</v>
      </c>
      <c r="F3321" s="31" t="s">
        <v>291</v>
      </c>
      <c r="G3321" s="2" t="s">
        <v>286</v>
      </c>
      <c r="L3321" s="17"/>
      <c r="M3321" s="17"/>
      <c r="P3321" s="8"/>
    </row>
    <row r="3322" spans="1:16" x14ac:dyDescent="0.35">
      <c r="G3322" s="16"/>
      <c r="L3322" s="19"/>
      <c r="M3322" s="36"/>
    </row>
    <row r="3323" spans="1:16" x14ac:dyDescent="0.35">
      <c r="B3323" s="20"/>
      <c r="C3323" s="11" t="s">
        <v>240</v>
      </c>
      <c r="D3323" s="11" t="s">
        <v>272</v>
      </c>
      <c r="E3323" s="11" t="s">
        <v>505</v>
      </c>
      <c r="F3323" s="11">
        <v>390</v>
      </c>
      <c r="G3323" s="11">
        <v>400</v>
      </c>
      <c r="H3323" s="11">
        <v>411</v>
      </c>
      <c r="I3323" s="11" t="s">
        <v>356</v>
      </c>
      <c r="J3323" s="11"/>
      <c r="K3323" s="11"/>
      <c r="L3323" s="28"/>
    </row>
    <row r="3324" spans="1:16" ht="15.75" customHeight="1" x14ac:dyDescent="0.35">
      <c r="B3324" s="20" t="s">
        <v>242</v>
      </c>
      <c r="C3324" s="30"/>
      <c r="D3324" s="30"/>
      <c r="E3324" s="23" t="s">
        <v>244</v>
      </c>
      <c r="F3324" s="23" t="s">
        <v>245</v>
      </c>
      <c r="G3324" s="23" t="s">
        <v>246</v>
      </c>
      <c r="H3324" s="23" t="s">
        <v>247</v>
      </c>
      <c r="I3324" s="23" t="s">
        <v>248</v>
      </c>
      <c r="O3324" s="4"/>
    </row>
    <row r="3325" spans="1:16" ht="1" customHeight="1" x14ac:dyDescent="0.35">
      <c r="B3325" s="24" t="s">
        <v>249</v>
      </c>
      <c r="C3325" s="25"/>
      <c r="D3325" s="25"/>
      <c r="E3325" s="25"/>
      <c r="F3325" s="25"/>
      <c r="G3325" s="25"/>
      <c r="H3325" s="25"/>
      <c r="I3325" s="25"/>
      <c r="O3325" t="e">
        <f>(O3323-3*O3322)/O3324</f>
        <v>#DIV/0!</v>
      </c>
    </row>
    <row r="3326" spans="1:16" ht="15.75" customHeight="1" x14ac:dyDescent="0.35">
      <c r="B3326" s="20" t="s">
        <v>250</v>
      </c>
      <c r="C3326" s="26">
        <v>0.19444444444444445</v>
      </c>
      <c r="D3326" s="26">
        <v>0.26041666666666669</v>
      </c>
      <c r="E3326" s="26">
        <v>0.36805555555555558</v>
      </c>
      <c r="F3326" s="26">
        <f>E3326+'Lookup Tables'!$N$1</f>
        <v>0.3888888888888889</v>
      </c>
      <c r="G3326" s="26">
        <f>F3326+'Lookup Tables'!$N$1</f>
        <v>0.40972222222222221</v>
      </c>
      <c r="H3326" s="26">
        <f>G3326+'Lookup Tables'!$N$1</f>
        <v>0.43055555555555552</v>
      </c>
      <c r="I3326" s="26">
        <f>H3326+'Lookup Tables'!$S$1</f>
        <v>0.44097222222222221</v>
      </c>
      <c r="N3326">
        <f>MAX(F3323:M3323)-O3326</f>
        <v>33</v>
      </c>
      <c r="O3326" t="str">
        <f>RIGHT(E3323,3)</f>
        <v>378</v>
      </c>
    </row>
    <row r="3327" spans="1:16" ht="15.75" customHeight="1" x14ac:dyDescent="0.35">
      <c r="B3327" s="20" t="s">
        <v>251</v>
      </c>
      <c r="C3327" s="27">
        <v>0.2</v>
      </c>
      <c r="D3327" s="27">
        <v>0.5</v>
      </c>
      <c r="E3327" s="27"/>
      <c r="F3327" s="27"/>
      <c r="G3327" s="27"/>
      <c r="H3327" s="25"/>
      <c r="I3327" s="25"/>
      <c r="N3327" t="str">
        <f xml:space="preserve">  N3326 &amp; " degrees this time"</f>
        <v>33 degrees this time</v>
      </c>
    </row>
    <row r="3328" spans="1:16" ht="15.75" customHeight="1" x14ac:dyDescent="0.35">
      <c r="B3328" s="20" t="s">
        <v>252</v>
      </c>
      <c r="C3328" s="27">
        <v>0.9</v>
      </c>
      <c r="D3328" s="27">
        <v>0.8</v>
      </c>
      <c r="E3328" s="27"/>
      <c r="F3328" s="27"/>
      <c r="G3328" s="27"/>
      <c r="H3328" s="27" t="s">
        <v>275</v>
      </c>
      <c r="I3328" s="27" t="s">
        <v>275</v>
      </c>
    </row>
    <row r="3329" spans="1:16" ht="15.75" customHeight="1" x14ac:dyDescent="0.35">
      <c r="B3329" s="20"/>
      <c r="C3329" s="30"/>
      <c r="D3329" s="11"/>
      <c r="E3329" s="1"/>
      <c r="F3329" s="11"/>
      <c r="G3329" s="11"/>
      <c r="H3329" s="11"/>
      <c r="J3329" s="37"/>
    </row>
    <row r="3330" spans="1:16" ht="15.75" customHeight="1" x14ac:dyDescent="0.35">
      <c r="B3330" s="38"/>
      <c r="D3330" s="11"/>
      <c r="E3330" s="11"/>
      <c r="F3330" s="11"/>
      <c r="G3330" s="1" t="s">
        <v>483</v>
      </c>
      <c r="K3330" s="9" t="s">
        <v>506</v>
      </c>
      <c r="L3330" s="9"/>
      <c r="M3330" s="9"/>
    </row>
    <row r="3331" spans="1:16" ht="15.75" customHeight="1" x14ac:dyDescent="0.35">
      <c r="B3331" s="20"/>
      <c r="G3331" s="1"/>
      <c r="H3331" s="1"/>
      <c r="K3331" s="9"/>
      <c r="L3331" s="9"/>
      <c r="M3331" s="9"/>
    </row>
    <row r="3332" spans="1:16" ht="15.75" customHeight="1" x14ac:dyDescent="0.35">
      <c r="B3332" s="20"/>
      <c r="G3332" s="1"/>
      <c r="H3332" s="1"/>
      <c r="K3332" s="9" t="s">
        <v>254</v>
      </c>
      <c r="L3332" s="9"/>
      <c r="M3332" s="9"/>
    </row>
    <row r="3333" spans="1:16" ht="15.75" customHeight="1" x14ac:dyDescent="0.35">
      <c r="B3333" s="9"/>
      <c r="C3333" s="9"/>
      <c r="D3333" s="9"/>
      <c r="E3333" s="9"/>
      <c r="F3333" s="12"/>
      <c r="G3333" s="12"/>
      <c r="H3333" s="12"/>
      <c r="I3333" s="12"/>
      <c r="J3333" s="12"/>
      <c r="K3333" s="12"/>
      <c r="L3333" s="1"/>
    </row>
    <row r="3334" spans="1:16" ht="15.75" customHeight="1" x14ac:dyDescent="0.35">
      <c r="B3334" s="13"/>
      <c r="C3334" s="13"/>
      <c r="D3334" s="13"/>
      <c r="E3334" s="13"/>
      <c r="F3334" s="13"/>
      <c r="G3334" s="13"/>
      <c r="H3334" s="14"/>
      <c r="I3334" s="13"/>
    </row>
    <row r="3335" spans="1:16" x14ac:dyDescent="0.35">
      <c r="B3335" s="13" t="s">
        <v>5</v>
      </c>
      <c r="C3335" s="13" t="s">
        <v>1</v>
      </c>
      <c r="D3335" s="15" t="str">
        <f>VLOOKUP(A3336,Inventory!$A$4:$K$1139,7)</f>
        <v xml:space="preserve">GCBC                               </v>
      </c>
      <c r="F3335" s="13" t="s">
        <v>235</v>
      </c>
      <c r="G3335" s="16"/>
      <c r="J3335" s="8"/>
      <c r="K3335" s="17"/>
      <c r="L3335" s="17"/>
      <c r="M3335" s="17"/>
    </row>
    <row r="3336" spans="1:16" x14ac:dyDescent="0.35">
      <c r="A3336">
        <v>148</v>
      </c>
      <c r="B3336" s="5">
        <v>44106</v>
      </c>
      <c r="C3336" s="15" t="str">
        <f>VLOOKUP(A3336,Inventory!$A$4:$K$1139,2)</f>
        <v>Costa Rica - La Pastora Tarrazu 2018</v>
      </c>
      <c r="F3336" s="34" t="s">
        <v>279</v>
      </c>
      <c r="G3336" s="2" t="s">
        <v>270</v>
      </c>
      <c r="K3336" s="17"/>
      <c r="L3336" s="17"/>
      <c r="M3336" s="17"/>
      <c r="P3336" s="8"/>
    </row>
    <row r="3337" spans="1:16" x14ac:dyDescent="0.35">
      <c r="G3337" s="16"/>
      <c r="J3337" s="19"/>
      <c r="K3337" s="19"/>
      <c r="L3337" s="19"/>
      <c r="M3337" s="19"/>
    </row>
    <row r="3338" spans="1:16" x14ac:dyDescent="0.35">
      <c r="B3338" s="20"/>
      <c r="C3338" s="11" t="s">
        <v>240</v>
      </c>
      <c r="D3338" s="11" t="s">
        <v>272</v>
      </c>
      <c r="E3338" s="11" t="s">
        <v>426</v>
      </c>
      <c r="F3338" s="11">
        <v>378</v>
      </c>
      <c r="G3338" s="11">
        <v>386</v>
      </c>
      <c r="H3338" s="11">
        <v>397</v>
      </c>
      <c r="I3338" s="11" t="s">
        <v>356</v>
      </c>
      <c r="J3338" s="11"/>
      <c r="K3338" s="11"/>
      <c r="L3338" s="28"/>
    </row>
    <row r="3339" spans="1:16" ht="15.75" customHeight="1" x14ac:dyDescent="0.35">
      <c r="B3339" s="20" t="s">
        <v>242</v>
      </c>
      <c r="C3339" s="30"/>
      <c r="D3339" s="30"/>
      <c r="E3339" s="23" t="s">
        <v>244</v>
      </c>
      <c r="F3339" s="23" t="s">
        <v>245</v>
      </c>
      <c r="G3339" s="23" t="s">
        <v>246</v>
      </c>
      <c r="H3339" s="23" t="s">
        <v>247</v>
      </c>
      <c r="I3339" s="23" t="s">
        <v>248</v>
      </c>
      <c r="O3339" s="4"/>
    </row>
    <row r="3340" spans="1:16" ht="1" customHeight="1" x14ac:dyDescent="0.35">
      <c r="B3340" s="24" t="s">
        <v>249</v>
      </c>
      <c r="C3340" s="25"/>
      <c r="D3340" s="25"/>
      <c r="E3340" s="25"/>
      <c r="F3340" s="25"/>
      <c r="G3340" s="25"/>
      <c r="H3340" s="25"/>
      <c r="I3340" s="25"/>
      <c r="O3340" t="e">
        <f>(O3338-3*O3337)/O3339</f>
        <v>#DIV/0!</v>
      </c>
    </row>
    <row r="3341" spans="1:16" ht="15.75" customHeight="1" x14ac:dyDescent="0.35">
      <c r="B3341" s="20" t="s">
        <v>250</v>
      </c>
      <c r="C3341" s="26">
        <v>0.21875</v>
      </c>
      <c r="D3341" s="26">
        <v>0.30555555555555552</v>
      </c>
      <c r="E3341" s="26">
        <v>0.38194444444444442</v>
      </c>
      <c r="F3341" s="26">
        <f>E3341+'Lookup Tables'!$N$1</f>
        <v>0.40277777777777773</v>
      </c>
      <c r="G3341" s="26">
        <f>F3341+'Lookup Tables'!$N$1</f>
        <v>0.42361111111111105</v>
      </c>
      <c r="H3341" s="26">
        <f>G3341+'Lookup Tables'!$N$1</f>
        <v>0.44444444444444436</v>
      </c>
      <c r="I3341" s="26">
        <f>H3341+'Lookup Tables'!$S$1</f>
        <v>0.45486111111111105</v>
      </c>
      <c r="N3341">
        <f>MAX(F3338:M3338)-O3341</f>
        <v>27</v>
      </c>
      <c r="O3341" t="str">
        <f>RIGHT(E3338,3)</f>
        <v>370</v>
      </c>
    </row>
    <row r="3342" spans="1:16" ht="15.75" customHeight="1" x14ac:dyDescent="0.35">
      <c r="B3342" s="20" t="s">
        <v>251</v>
      </c>
      <c r="C3342" s="27">
        <v>0.2</v>
      </c>
      <c r="D3342" s="27">
        <v>0.5</v>
      </c>
      <c r="E3342" s="25"/>
      <c r="F3342" s="27"/>
      <c r="G3342" s="27"/>
      <c r="H3342" s="25" t="s">
        <v>274</v>
      </c>
      <c r="I3342" s="27"/>
      <c r="N3342" t="str">
        <f xml:space="preserve">  N3341 &amp; " degrees this time"</f>
        <v>27 degrees this time</v>
      </c>
    </row>
    <row r="3343" spans="1:16" ht="15.75" customHeight="1" x14ac:dyDescent="0.35">
      <c r="B3343" s="20" t="s">
        <v>252</v>
      </c>
      <c r="C3343" s="27">
        <v>0.9</v>
      </c>
      <c r="D3343" s="27">
        <v>0.8</v>
      </c>
      <c r="E3343" s="27">
        <v>0.6</v>
      </c>
      <c r="F3343" s="27"/>
      <c r="G3343" s="27"/>
      <c r="H3343" s="25" t="s">
        <v>274</v>
      </c>
      <c r="I3343" s="27" t="s">
        <v>275</v>
      </c>
    </row>
    <row r="3344" spans="1:16" ht="15.75" customHeight="1" x14ac:dyDescent="0.35">
      <c r="B3344" s="20"/>
      <c r="C3344" s="30"/>
      <c r="D3344" s="11"/>
      <c r="E3344" s="11"/>
      <c r="F3344" s="11"/>
      <c r="G3344" s="1"/>
      <c r="H3344" s="1"/>
      <c r="I3344" s="1"/>
    </row>
    <row r="3345" spans="1:16" ht="15.75" customHeight="1" x14ac:dyDescent="0.35">
      <c r="B3345" s="20"/>
      <c r="C3345" s="30"/>
      <c r="D3345" s="11"/>
      <c r="E3345" s="11"/>
      <c r="F3345" s="11"/>
      <c r="G3345" s="1" t="s">
        <v>445</v>
      </c>
      <c r="K3345" s="32" t="s">
        <v>446</v>
      </c>
      <c r="L3345" s="9"/>
      <c r="M3345" s="9"/>
    </row>
    <row r="3346" spans="1:16" ht="15.75" customHeight="1" x14ac:dyDescent="0.35">
      <c r="B3346" s="20"/>
      <c r="G3346" s="1"/>
      <c r="H3346" s="1"/>
      <c r="K3346" s="32"/>
      <c r="L3346" s="9"/>
      <c r="M3346" s="9"/>
    </row>
    <row r="3347" spans="1:16" ht="15.75" customHeight="1" x14ac:dyDescent="0.35">
      <c r="B3347" s="20"/>
      <c r="G3347" s="1"/>
      <c r="H3347" s="1"/>
      <c r="K3347" s="9" t="s">
        <v>254</v>
      </c>
      <c r="L3347" s="9"/>
      <c r="M3347" s="9"/>
    </row>
    <row r="3348" spans="1:16" ht="15.75" customHeight="1" x14ac:dyDescent="0.35">
      <c r="B3348" s="9"/>
      <c r="C3348" s="9"/>
      <c r="D3348" s="9"/>
      <c r="E3348" s="9"/>
      <c r="F3348" s="12"/>
      <c r="G3348" s="12"/>
      <c r="H3348" s="12"/>
      <c r="I3348" s="12"/>
      <c r="J3348" s="12"/>
      <c r="K3348" s="12"/>
      <c r="L3348" s="1"/>
    </row>
    <row r="3349" spans="1:16" ht="15.75" customHeight="1" x14ac:dyDescent="0.35">
      <c r="B3349" s="13"/>
      <c r="C3349" s="13"/>
      <c r="D3349" s="15"/>
      <c r="G3349" s="16"/>
      <c r="I3349" s="14"/>
    </row>
    <row r="3350" spans="1:16" x14ac:dyDescent="0.35">
      <c r="B3350" s="13" t="s">
        <v>5</v>
      </c>
      <c r="C3350" s="13" t="s">
        <v>1</v>
      </c>
      <c r="D3350" s="15" t="str">
        <f>VLOOKUP(A3351,Inventory!$A$4:$K$1139,7)</f>
        <v>Coffee Bean corral</v>
      </c>
      <c r="F3350" s="13" t="s">
        <v>235</v>
      </c>
      <c r="G3350" s="16"/>
      <c r="L3350" s="17"/>
      <c r="M3350" s="17"/>
    </row>
    <row r="3351" spans="1:16" x14ac:dyDescent="0.35">
      <c r="A3351">
        <v>151</v>
      </c>
      <c r="B3351" s="5">
        <v>44106</v>
      </c>
      <c r="C3351" s="15" t="str">
        <f>VLOOKUP(A3351,Inventory!$A$4:$K$1139,2)</f>
        <v>Yemen Mocca Ismaili Natural 2018</v>
      </c>
      <c r="F3351" s="34" t="s">
        <v>279</v>
      </c>
      <c r="G3351" s="2" t="s">
        <v>286</v>
      </c>
      <c r="L3351" s="17"/>
      <c r="M3351" s="17"/>
      <c r="P3351" s="8"/>
    </row>
    <row r="3352" spans="1:16" x14ac:dyDescent="0.35">
      <c r="B3352" t="s">
        <v>16</v>
      </c>
      <c r="G3352" s="16"/>
      <c r="L3352" s="19"/>
      <c r="M3352" s="19"/>
    </row>
    <row r="3353" spans="1:16" x14ac:dyDescent="0.35">
      <c r="B3353" s="20"/>
      <c r="C3353" s="11" t="s">
        <v>240</v>
      </c>
      <c r="D3353" s="11" t="s">
        <v>272</v>
      </c>
      <c r="E3353" s="11" t="s">
        <v>450</v>
      </c>
      <c r="F3353" s="11">
        <v>384</v>
      </c>
      <c r="G3353" s="11">
        <v>394</v>
      </c>
      <c r="H3353" s="11" t="s">
        <v>310</v>
      </c>
      <c r="I3353" s="11"/>
      <c r="J3353" s="11"/>
      <c r="K3353" s="11"/>
      <c r="L3353" s="28"/>
    </row>
    <row r="3354" spans="1:16" ht="15.75" customHeight="1" x14ac:dyDescent="0.35">
      <c r="B3354" s="20" t="s">
        <v>242</v>
      </c>
      <c r="C3354" s="21"/>
      <c r="D3354" s="22" t="s">
        <v>294</v>
      </c>
      <c r="E3354" s="23" t="s">
        <v>244</v>
      </c>
      <c r="F3354" s="23" t="s">
        <v>245</v>
      </c>
      <c r="G3354" s="23" t="s">
        <v>246</v>
      </c>
      <c r="H3354" s="23" t="s">
        <v>273</v>
      </c>
      <c r="I3354" s="23" t="s">
        <v>247</v>
      </c>
      <c r="O3354" s="4"/>
    </row>
    <row r="3355" spans="1:16" ht="1" customHeight="1" x14ac:dyDescent="0.35">
      <c r="B3355" s="24" t="s">
        <v>249</v>
      </c>
      <c r="C3355" s="25">
        <v>320</v>
      </c>
      <c r="D3355" s="25">
        <v>350</v>
      </c>
      <c r="E3355" s="25"/>
      <c r="F3355" s="25"/>
      <c r="G3355" s="25"/>
      <c r="H3355" s="23" t="s">
        <v>247</v>
      </c>
      <c r="I3355" s="25"/>
      <c r="O3355" t="e">
        <f>(O3353-3*O3352)/O3354</f>
        <v>#DIV/0!</v>
      </c>
    </row>
    <row r="3356" spans="1:16" ht="15.75" customHeight="1" x14ac:dyDescent="0.35">
      <c r="B3356" s="20" t="s">
        <v>250</v>
      </c>
      <c r="C3356" s="26">
        <v>0.21527777777777779</v>
      </c>
      <c r="D3356" s="26">
        <v>0.30208333333333331</v>
      </c>
      <c r="E3356" s="26">
        <v>0.3888888888888889</v>
      </c>
      <c r="F3356" s="26">
        <f>E3356+'Lookup Tables'!$N$1</f>
        <v>0.40972222222222221</v>
      </c>
      <c r="G3356" s="26">
        <f>F3356+'Lookup Tables'!$N$1</f>
        <v>0.43055555555555552</v>
      </c>
      <c r="H3356" s="26">
        <f>G3356+'Lookup Tables'!$S$1</f>
        <v>0.44097222222222221</v>
      </c>
      <c r="I3356" s="26">
        <f>H3356+'Lookup Tables'!$S$1</f>
        <v>0.4513888888888889</v>
      </c>
      <c r="J3356" s="11"/>
      <c r="K3356" s="11"/>
      <c r="N3356">
        <f>MAX(F3353:M3353)-O3356</f>
        <v>19</v>
      </c>
      <c r="O3356" t="str">
        <f>RIGHT(E3353,3)</f>
        <v>375</v>
      </c>
    </row>
    <row r="3357" spans="1:16" ht="15.75" customHeight="1" x14ac:dyDescent="0.35">
      <c r="B3357" s="20" t="s">
        <v>251</v>
      </c>
      <c r="C3357" s="27">
        <v>0.2</v>
      </c>
      <c r="D3357" s="27">
        <v>0.5</v>
      </c>
      <c r="E3357" s="27"/>
      <c r="F3357" s="27"/>
      <c r="G3357" s="27">
        <v>0.25</v>
      </c>
      <c r="H3357" s="27"/>
      <c r="I3357" s="27"/>
      <c r="N3357" t="str">
        <f xml:space="preserve">  N3356 &amp; " degrees this time"</f>
        <v>19 degrees this time</v>
      </c>
    </row>
    <row r="3358" spans="1:16" ht="15.75" customHeight="1" x14ac:dyDescent="0.35">
      <c r="B3358" s="20" t="s">
        <v>252</v>
      </c>
      <c r="C3358" s="27">
        <v>0.9</v>
      </c>
      <c r="D3358" s="27">
        <v>0.7</v>
      </c>
      <c r="E3358" s="27">
        <v>0.4</v>
      </c>
      <c r="F3358" s="27"/>
      <c r="G3358" s="27"/>
      <c r="H3358" s="27" t="s">
        <v>275</v>
      </c>
      <c r="I3358" s="27" t="s">
        <v>275</v>
      </c>
    </row>
    <row r="3359" spans="1:16" ht="15.75" customHeight="1" x14ac:dyDescent="0.35">
      <c r="B3359" s="20"/>
      <c r="D3359" s="11"/>
      <c r="E3359" s="40"/>
      <c r="F3359" s="11"/>
      <c r="G3359" s="11"/>
      <c r="K3359" s="32" t="s">
        <v>507</v>
      </c>
      <c r="L3359" s="9"/>
      <c r="M3359" s="9"/>
    </row>
    <row r="3360" spans="1:16" ht="15.75" customHeight="1" x14ac:dyDescent="0.35">
      <c r="B3360" s="38"/>
      <c r="D3360" s="15"/>
      <c r="F3360" s="13"/>
      <c r="G3360" s="1" t="s">
        <v>403</v>
      </c>
      <c r="K3360" s="32"/>
      <c r="L3360" s="9"/>
      <c r="M3360" s="9"/>
    </row>
    <row r="3361" spans="1:16" ht="15.75" customHeight="1" x14ac:dyDescent="0.35">
      <c r="B3361" s="20"/>
      <c r="G3361" s="1"/>
      <c r="H3361" s="1"/>
      <c r="K3361" s="9"/>
      <c r="L3361" s="9"/>
      <c r="M3361" s="9"/>
    </row>
    <row r="3362" spans="1:16" ht="15.75" customHeight="1" x14ac:dyDescent="0.35">
      <c r="B3362" s="20"/>
      <c r="G3362" s="1"/>
      <c r="H3362" s="1"/>
      <c r="K3362" s="9" t="s">
        <v>297</v>
      </c>
      <c r="L3362" s="9"/>
      <c r="M3362" s="9"/>
    </row>
    <row r="3363" spans="1:16" ht="15.75" customHeight="1" x14ac:dyDescent="0.35">
      <c r="B3363" s="9"/>
      <c r="C3363" s="9"/>
      <c r="D3363" s="9"/>
      <c r="E3363" s="9"/>
      <c r="F3363" s="12"/>
      <c r="G3363" s="12"/>
      <c r="H3363" s="12"/>
      <c r="I3363" s="12"/>
      <c r="J3363" s="12"/>
      <c r="K3363" s="12"/>
      <c r="L3363" s="1"/>
    </row>
    <row r="3364" spans="1:16" ht="15.75" customHeight="1" x14ac:dyDescent="0.35">
      <c r="B3364" s="13"/>
      <c r="C3364" s="13"/>
      <c r="D3364" s="15"/>
      <c r="F3364" s="33" t="s">
        <v>326</v>
      </c>
      <c r="H3364" s="14" t="s">
        <v>255</v>
      </c>
    </row>
    <row r="3365" spans="1:16" x14ac:dyDescent="0.35">
      <c r="B3365" s="13" t="s">
        <v>5</v>
      </c>
      <c r="C3365" s="13" t="s">
        <v>1</v>
      </c>
      <c r="D3365" s="15" t="str">
        <f>VLOOKUP(A3366,Inventory!$A$4:$K$1139,7)</f>
        <v>Leverhead Coffee</v>
      </c>
      <c r="F3365" s="13" t="s">
        <v>235</v>
      </c>
      <c r="G3365" s="16"/>
      <c r="L3365" s="17"/>
      <c r="M3365" s="17"/>
    </row>
    <row r="3366" spans="1:16" x14ac:dyDescent="0.35">
      <c r="A3366">
        <v>138</v>
      </c>
      <c r="B3366" s="5">
        <v>44093</v>
      </c>
      <c r="C3366" s="15" t="str">
        <f>VLOOKUP(A3366,Inventory!$A$4:$K$1139,2)</f>
        <v>Sidamo Chuchu 2017</v>
      </c>
      <c r="E3366" s="11"/>
      <c r="F3366" s="31" t="s">
        <v>291</v>
      </c>
      <c r="G3366" s="2" t="s">
        <v>286</v>
      </c>
      <c r="L3366" s="17"/>
      <c r="M3366" s="17"/>
      <c r="P3366" s="8"/>
    </row>
    <row r="3367" spans="1:16" x14ac:dyDescent="0.35">
      <c r="D3367" s="11"/>
      <c r="E3367" s="11"/>
      <c r="G3367" s="16"/>
      <c r="L3367" s="19"/>
      <c r="M3367" s="19"/>
    </row>
    <row r="3368" spans="1:16" x14ac:dyDescent="0.35">
      <c r="B3368" s="20"/>
      <c r="C3368" s="11" t="s">
        <v>240</v>
      </c>
      <c r="D3368" s="11" t="s">
        <v>272</v>
      </c>
      <c r="E3368" s="11" t="s">
        <v>450</v>
      </c>
      <c r="F3368" s="11">
        <v>381</v>
      </c>
      <c r="G3368" s="11">
        <v>386</v>
      </c>
      <c r="H3368" s="11">
        <v>394</v>
      </c>
      <c r="I3368" s="11">
        <v>398</v>
      </c>
      <c r="J3368" s="11"/>
      <c r="K3368" s="11"/>
      <c r="L3368" s="28"/>
    </row>
    <row r="3369" spans="1:16" ht="15.75" customHeight="1" x14ac:dyDescent="0.35">
      <c r="B3369" s="20" t="s">
        <v>242</v>
      </c>
      <c r="C3369" s="30"/>
      <c r="D3369" s="30"/>
      <c r="E3369" s="23" t="s">
        <v>244</v>
      </c>
      <c r="F3369" s="23" t="s">
        <v>245</v>
      </c>
      <c r="G3369" s="23" t="s">
        <v>246</v>
      </c>
      <c r="H3369" s="23" t="s">
        <v>247</v>
      </c>
      <c r="I3369" s="23" t="s">
        <v>248</v>
      </c>
      <c r="O3369" s="4"/>
    </row>
    <row r="3370" spans="1:16" ht="1" customHeight="1" x14ac:dyDescent="0.35">
      <c r="B3370" s="24" t="s">
        <v>249</v>
      </c>
      <c r="C3370" s="25"/>
      <c r="D3370" s="25"/>
      <c r="E3370" s="25"/>
      <c r="F3370" s="25"/>
      <c r="G3370" s="25"/>
      <c r="H3370" s="25"/>
      <c r="I3370" s="25"/>
      <c r="O3370" t="e">
        <f>(O3368-3*O3367)/O3369</f>
        <v>#DIV/0!</v>
      </c>
    </row>
    <row r="3371" spans="1:16" ht="15.75" customHeight="1" x14ac:dyDescent="0.35">
      <c r="B3371" s="20" t="s">
        <v>250</v>
      </c>
      <c r="C3371" s="26">
        <v>0.17361111111111113</v>
      </c>
      <c r="D3371" s="26">
        <v>0.25347222222222221</v>
      </c>
      <c r="E3371" s="26">
        <v>0.34722222222222227</v>
      </c>
      <c r="F3371" s="26">
        <f>E3371+'Lookup Tables'!$N$1</f>
        <v>0.36805555555555558</v>
      </c>
      <c r="G3371" s="26">
        <f>F3371+'Lookup Tables'!$N$1</f>
        <v>0.3888888888888889</v>
      </c>
      <c r="H3371" s="26">
        <f>G3371+'Lookup Tables'!$N$1</f>
        <v>0.40972222222222221</v>
      </c>
      <c r="I3371" s="26">
        <f>H3371+'Lookup Tables'!$S$1</f>
        <v>0.4201388888888889</v>
      </c>
      <c r="N3371">
        <f>MAX(F3368:M3368)-O3371</f>
        <v>23</v>
      </c>
      <c r="O3371" t="str">
        <f>RIGHT(E3368,3)</f>
        <v>375</v>
      </c>
    </row>
    <row r="3372" spans="1:16" ht="15.75" customHeight="1" x14ac:dyDescent="0.35">
      <c r="B3372" s="20" t="s">
        <v>251</v>
      </c>
      <c r="C3372" s="27">
        <v>0.2</v>
      </c>
      <c r="D3372" s="27">
        <v>0.5</v>
      </c>
      <c r="E3372" s="27"/>
      <c r="F3372" s="27"/>
      <c r="G3372" s="27"/>
      <c r="H3372" s="27"/>
      <c r="I3372" s="27"/>
      <c r="N3372" t="str">
        <f xml:space="preserve">  N3371 &amp; " degrees this time"</f>
        <v>23 degrees this time</v>
      </c>
    </row>
    <row r="3373" spans="1:16" ht="15.75" customHeight="1" x14ac:dyDescent="0.35">
      <c r="B3373" s="20" t="s">
        <v>252</v>
      </c>
      <c r="C3373" s="27">
        <v>0.9</v>
      </c>
      <c r="D3373" s="27">
        <v>0.7</v>
      </c>
      <c r="E3373" s="27"/>
      <c r="F3373" s="27">
        <v>0.6</v>
      </c>
      <c r="G3373" s="27"/>
      <c r="H3373" s="27"/>
      <c r="I3373" s="27" t="s">
        <v>275</v>
      </c>
    </row>
    <row r="3374" spans="1:16" ht="15.75" customHeight="1" x14ac:dyDescent="0.35">
      <c r="B3374" s="20"/>
      <c r="F3374" s="1"/>
    </row>
    <row r="3375" spans="1:16" ht="15.75" customHeight="1" x14ac:dyDescent="0.35">
      <c r="B3375" s="20"/>
      <c r="G3375" s="1" t="s">
        <v>504</v>
      </c>
      <c r="K3375" s="9" t="s">
        <v>508</v>
      </c>
      <c r="L3375" s="9"/>
      <c r="M3375" s="9"/>
    </row>
    <row r="3376" spans="1:16" ht="15.75" customHeight="1" x14ac:dyDescent="0.35">
      <c r="B3376" s="20"/>
      <c r="G3376" s="1"/>
      <c r="H3376" s="1"/>
      <c r="K3376" s="12"/>
      <c r="L3376" s="9"/>
      <c r="M3376" s="9"/>
    </row>
    <row r="3377" spans="1:16" ht="15.75" customHeight="1" x14ac:dyDescent="0.35">
      <c r="B3377" s="20"/>
      <c r="G3377" s="1"/>
      <c r="H3377" s="1"/>
      <c r="K3377" s="9" t="s">
        <v>300</v>
      </c>
      <c r="L3377" s="9"/>
      <c r="M3377" s="9"/>
    </row>
    <row r="3378" spans="1:16" ht="15.75" customHeight="1" x14ac:dyDescent="0.35">
      <c r="B3378" s="9"/>
      <c r="C3378" s="9"/>
      <c r="D3378" s="9"/>
      <c r="E3378" s="9"/>
      <c r="F3378" s="12"/>
      <c r="G3378" s="12"/>
      <c r="H3378" s="12"/>
      <c r="I3378" s="12"/>
      <c r="J3378" s="12"/>
      <c r="K3378" s="12"/>
      <c r="L3378" s="1"/>
    </row>
    <row r="3379" spans="1:16" ht="15.75" customHeight="1" x14ac:dyDescent="0.35">
      <c r="B3379" s="13"/>
      <c r="C3379" s="13"/>
      <c r="D3379" s="15"/>
    </row>
    <row r="3380" spans="1:16" x14ac:dyDescent="0.35">
      <c r="B3380" s="13" t="s">
        <v>5</v>
      </c>
      <c r="C3380" s="13" t="s">
        <v>1</v>
      </c>
      <c r="D3380" s="15" t="str">
        <f>VLOOKUP(A3381,Inventory!$A$4:$K$1139,7)</f>
        <v xml:space="preserve">Roastmasters                       </v>
      </c>
      <c r="F3380" s="13" t="s">
        <v>235</v>
      </c>
      <c r="G3380" s="16"/>
      <c r="L3380" s="17"/>
      <c r="M3380" s="17"/>
    </row>
    <row r="3381" spans="1:16" x14ac:dyDescent="0.35">
      <c r="A3381">
        <v>150</v>
      </c>
      <c r="B3381" s="5">
        <v>44093</v>
      </c>
      <c r="C3381" s="15" t="str">
        <f>VLOOKUP(A3381,Inventory!$A$4:$K$1139,2)</f>
        <v>Ethiopia Yirgacheffe Reko 2018</v>
      </c>
      <c r="F3381" s="34" t="s">
        <v>279</v>
      </c>
      <c r="G3381" s="2" t="s">
        <v>286</v>
      </c>
      <c r="L3381" s="17"/>
      <c r="M3381" s="17"/>
      <c r="P3381" s="8"/>
    </row>
    <row r="3382" spans="1:16" x14ac:dyDescent="0.35">
      <c r="G3382" s="16"/>
      <c r="L3382" s="19"/>
      <c r="M3382" s="19"/>
    </row>
    <row r="3383" spans="1:16" x14ac:dyDescent="0.35">
      <c r="B3383" s="20"/>
      <c r="C3383" s="11" t="s">
        <v>240</v>
      </c>
      <c r="D3383" s="11" t="s">
        <v>241</v>
      </c>
      <c r="E3383" s="11" t="s">
        <v>427</v>
      </c>
      <c r="F3383" s="11">
        <v>373</v>
      </c>
      <c r="G3383" s="11">
        <v>380</v>
      </c>
      <c r="H3383" s="11">
        <v>388</v>
      </c>
      <c r="I3383" s="11">
        <v>393</v>
      </c>
      <c r="J3383" s="11"/>
      <c r="K3383" s="11"/>
      <c r="L3383" s="28"/>
    </row>
    <row r="3384" spans="1:16" ht="15.75" customHeight="1" x14ac:dyDescent="0.35">
      <c r="B3384" s="20" t="s">
        <v>242</v>
      </c>
      <c r="C3384" s="30"/>
      <c r="D3384" s="30"/>
      <c r="E3384" s="23" t="s">
        <v>244</v>
      </c>
      <c r="F3384" s="23" t="s">
        <v>245</v>
      </c>
      <c r="G3384" s="23" t="s">
        <v>246</v>
      </c>
      <c r="H3384" s="23" t="s">
        <v>247</v>
      </c>
      <c r="I3384" s="23" t="s">
        <v>248</v>
      </c>
      <c r="O3384" s="4"/>
    </row>
    <row r="3385" spans="1:16" ht="1" customHeight="1" x14ac:dyDescent="0.35">
      <c r="B3385" s="24" t="s">
        <v>249</v>
      </c>
      <c r="C3385" s="25"/>
      <c r="D3385" s="25"/>
      <c r="E3385" s="25"/>
      <c r="F3385" s="25"/>
      <c r="G3385" s="25"/>
      <c r="H3385" s="25"/>
      <c r="I3385" s="25"/>
      <c r="O3385" t="e">
        <f>(O3383-3*O3382)/O3384</f>
        <v>#DIV/0!</v>
      </c>
    </row>
    <row r="3386" spans="1:16" ht="15.75" customHeight="1" x14ac:dyDescent="0.35">
      <c r="B3386" s="20" t="s">
        <v>250</v>
      </c>
      <c r="C3386" s="26">
        <v>0.19791666666666666</v>
      </c>
      <c r="D3386" s="26">
        <v>0.2673611111111111</v>
      </c>
      <c r="E3386" s="26">
        <v>0.34722222222222227</v>
      </c>
      <c r="F3386" s="26">
        <f>E3386+'Lookup Tables'!$N$1</f>
        <v>0.36805555555555558</v>
      </c>
      <c r="G3386" s="26">
        <f>F3386+'Lookup Tables'!$N$1</f>
        <v>0.3888888888888889</v>
      </c>
      <c r="H3386" s="26">
        <f>G3386+'Lookup Tables'!$N$1</f>
        <v>0.40972222222222221</v>
      </c>
      <c r="I3386" s="26">
        <f>H3386+'Lookup Tables'!$S$1</f>
        <v>0.4201388888888889</v>
      </c>
      <c r="N3386">
        <f>MAX(F3383:M3383)-O3386</f>
        <v>27</v>
      </c>
      <c r="O3386" t="str">
        <f>RIGHT(E3383,3)</f>
        <v>366</v>
      </c>
    </row>
    <row r="3387" spans="1:16" ht="15.75" customHeight="1" x14ac:dyDescent="0.35">
      <c r="B3387" s="20" t="s">
        <v>251</v>
      </c>
      <c r="C3387" s="27">
        <v>0.2</v>
      </c>
      <c r="D3387" s="27">
        <v>0.5</v>
      </c>
      <c r="E3387" s="27"/>
      <c r="F3387" s="27"/>
      <c r="G3387" s="27"/>
      <c r="H3387" s="25"/>
      <c r="I3387" s="27"/>
      <c r="N3387" t="str">
        <f xml:space="preserve">  N3386 &amp; " degrees this time"</f>
        <v>27 degrees this time</v>
      </c>
    </row>
    <row r="3388" spans="1:16" ht="15.75" customHeight="1" x14ac:dyDescent="0.35">
      <c r="B3388" s="20" t="s">
        <v>252</v>
      </c>
      <c r="C3388" s="27">
        <v>0.9</v>
      </c>
      <c r="D3388" s="27">
        <v>0.8</v>
      </c>
      <c r="E3388" s="27"/>
      <c r="F3388" s="27"/>
      <c r="G3388" s="27">
        <v>0.3</v>
      </c>
      <c r="H3388" s="27"/>
      <c r="I3388" s="27" t="s">
        <v>275</v>
      </c>
    </row>
    <row r="3389" spans="1:16" ht="15.75" customHeight="1" x14ac:dyDescent="0.35">
      <c r="B3389" s="20"/>
      <c r="C3389" s="30"/>
      <c r="D3389" s="11"/>
      <c r="E3389" s="1"/>
      <c r="F3389" s="11"/>
      <c r="G3389" s="11"/>
      <c r="H3389" s="11"/>
    </row>
    <row r="3390" spans="1:16" ht="15.75" customHeight="1" x14ac:dyDescent="0.35">
      <c r="B3390" s="38"/>
      <c r="D3390" s="11"/>
      <c r="E3390" s="11"/>
      <c r="F3390" s="11"/>
      <c r="G3390" s="1" t="s">
        <v>292</v>
      </c>
      <c r="K3390" s="9" t="s">
        <v>431</v>
      </c>
      <c r="L3390" s="9"/>
      <c r="M3390" s="9"/>
    </row>
    <row r="3391" spans="1:16" ht="15.75" customHeight="1" x14ac:dyDescent="0.35">
      <c r="B3391" s="20"/>
      <c r="G3391" s="1"/>
      <c r="H3391" s="1"/>
      <c r="K3391" s="9"/>
      <c r="L3391" s="9"/>
      <c r="M3391" s="9"/>
    </row>
    <row r="3392" spans="1:16" ht="15.75" customHeight="1" x14ac:dyDescent="0.35">
      <c r="B3392" s="20"/>
      <c r="G3392" s="1"/>
      <c r="H3392" s="1"/>
      <c r="K3392" s="9" t="s">
        <v>254</v>
      </c>
      <c r="L3392" s="9"/>
      <c r="M3392" s="9"/>
    </row>
    <row r="3393" spans="1:16" ht="15.75" customHeight="1" x14ac:dyDescent="0.35">
      <c r="B3393" s="9"/>
      <c r="C3393" s="9"/>
      <c r="D3393" s="9"/>
      <c r="E3393" s="9"/>
      <c r="F3393" s="12"/>
      <c r="G3393" s="12"/>
      <c r="H3393" s="12"/>
      <c r="I3393" s="12"/>
      <c r="J3393" s="12"/>
      <c r="K3393" s="12"/>
      <c r="L3393" s="1"/>
    </row>
    <row r="3394" spans="1:16" ht="15.75" customHeight="1" x14ac:dyDescent="0.35">
      <c r="B3394" s="13"/>
      <c r="C3394" s="13"/>
      <c r="D3394" s="15"/>
      <c r="G3394" s="16"/>
      <c r="H3394" s="14" t="s">
        <v>255</v>
      </c>
      <c r="I3394" s="14"/>
      <c r="L3394" s="2" t="s">
        <v>459</v>
      </c>
    </row>
    <row r="3395" spans="1:16" x14ac:dyDescent="0.35">
      <c r="B3395" s="13" t="s">
        <v>5</v>
      </c>
      <c r="C3395" s="13" t="s">
        <v>1</v>
      </c>
      <c r="D3395" s="15" t="str">
        <f>VLOOKUP(A3396,Inventory!$A$4:$K$1139,7)</f>
        <v>Royal coffee</v>
      </c>
      <c r="F3395" s="13" t="s">
        <v>235</v>
      </c>
      <c r="G3395" s="16"/>
      <c r="L3395" s="17"/>
      <c r="M3395" s="17"/>
    </row>
    <row r="3396" spans="1:16" x14ac:dyDescent="0.35">
      <c r="A3396">
        <v>141</v>
      </c>
      <c r="B3396" s="5">
        <v>44093</v>
      </c>
      <c r="C3396" s="15" t="str">
        <f>VLOOKUP(A3396,Inventory!$A$4:$K$1139,2)</f>
        <v>Yemen Al-Haymah Rooftop Raised Bed Natural 2017</v>
      </c>
      <c r="F3396" s="31" t="s">
        <v>291</v>
      </c>
      <c r="G3396" s="2" t="s">
        <v>286</v>
      </c>
      <c r="L3396" s="17"/>
      <c r="M3396" s="17"/>
      <c r="P3396" s="8"/>
    </row>
    <row r="3397" spans="1:16" x14ac:dyDescent="0.35">
      <c r="B3397" t="s">
        <v>16</v>
      </c>
      <c r="G3397" s="16"/>
      <c r="L3397" s="19"/>
      <c r="M3397" s="19"/>
    </row>
    <row r="3398" spans="1:16" x14ac:dyDescent="0.35">
      <c r="B3398" s="20"/>
      <c r="C3398" s="11" t="s">
        <v>240</v>
      </c>
      <c r="D3398" s="11" t="s">
        <v>272</v>
      </c>
      <c r="E3398" s="11" t="s">
        <v>461</v>
      </c>
      <c r="F3398" s="11">
        <v>390</v>
      </c>
      <c r="G3398" s="11">
        <v>398</v>
      </c>
      <c r="H3398" s="11">
        <v>402</v>
      </c>
      <c r="I3398" s="11">
        <v>405</v>
      </c>
      <c r="J3398" s="11"/>
      <c r="K3398" s="11"/>
      <c r="L3398" s="28"/>
    </row>
    <row r="3399" spans="1:16" ht="15.75" customHeight="1" x14ac:dyDescent="0.35">
      <c r="B3399" s="20" t="s">
        <v>242</v>
      </c>
      <c r="C3399" s="21"/>
      <c r="D3399" s="22" t="s">
        <v>294</v>
      </c>
      <c r="E3399" s="23" t="s">
        <v>244</v>
      </c>
      <c r="F3399" s="23" t="s">
        <v>245</v>
      </c>
      <c r="G3399" s="23" t="s">
        <v>246</v>
      </c>
      <c r="H3399" s="23" t="s">
        <v>273</v>
      </c>
      <c r="I3399" s="23" t="s">
        <v>247</v>
      </c>
      <c r="O3399" s="4"/>
    </row>
    <row r="3400" spans="1:16" ht="1" customHeight="1" x14ac:dyDescent="0.35">
      <c r="B3400" s="24" t="s">
        <v>249</v>
      </c>
      <c r="C3400" s="25">
        <v>320</v>
      </c>
      <c r="D3400" s="25">
        <v>350</v>
      </c>
      <c r="E3400" s="25"/>
      <c r="F3400" s="25"/>
      <c r="G3400" s="25"/>
      <c r="H3400" s="23" t="s">
        <v>247</v>
      </c>
      <c r="I3400" s="25"/>
      <c r="O3400" t="e">
        <f>(O3398-3*O3397)/O3399</f>
        <v>#DIV/0!</v>
      </c>
    </row>
    <row r="3401" spans="1:16" ht="15.75" customHeight="1" x14ac:dyDescent="0.35">
      <c r="B3401" s="20" t="s">
        <v>250</v>
      </c>
      <c r="C3401" s="26">
        <v>0.1875</v>
      </c>
      <c r="D3401" s="26">
        <v>0.27777777777777779</v>
      </c>
      <c r="E3401" s="26">
        <v>0.39583333333333331</v>
      </c>
      <c r="F3401" s="26">
        <f>E3401+'Lookup Tables'!$N$1</f>
        <v>0.41666666666666663</v>
      </c>
      <c r="G3401" s="26">
        <f>F3401+'Lookup Tables'!$N$1</f>
        <v>0.43749999999999994</v>
      </c>
      <c r="H3401" s="26">
        <f>G3401+'Lookup Tables'!$S$1</f>
        <v>0.44791666666666663</v>
      </c>
      <c r="I3401" s="26">
        <f>H3401+'Lookup Tables'!$S$1</f>
        <v>0.45833333333333331</v>
      </c>
      <c r="N3401">
        <f>MAX(F3398:M3398)-O3401</f>
        <v>23</v>
      </c>
      <c r="O3401" t="str">
        <f>RIGHT(E3398,3)</f>
        <v>382</v>
      </c>
    </row>
    <row r="3402" spans="1:16" ht="15.75" customHeight="1" x14ac:dyDescent="0.35">
      <c r="B3402" s="20" t="s">
        <v>251</v>
      </c>
      <c r="C3402" s="27">
        <v>0.2</v>
      </c>
      <c r="D3402" s="27">
        <v>0.5</v>
      </c>
      <c r="E3402" s="27"/>
      <c r="F3402" s="27"/>
      <c r="G3402" s="27">
        <v>0.25</v>
      </c>
      <c r="H3402" s="27"/>
      <c r="I3402" s="27"/>
      <c r="N3402" t="str">
        <f xml:space="preserve">  N3401 &amp; " degrees this time"</f>
        <v>23 degrees this time</v>
      </c>
    </row>
    <row r="3403" spans="1:16" ht="15.75" customHeight="1" x14ac:dyDescent="0.35">
      <c r="B3403" s="20" t="s">
        <v>252</v>
      </c>
      <c r="C3403" s="27">
        <v>0.9</v>
      </c>
      <c r="D3403" s="27">
        <v>0.7</v>
      </c>
      <c r="E3403" s="27">
        <v>0.6</v>
      </c>
      <c r="F3403" s="27"/>
      <c r="G3403" s="27"/>
      <c r="H3403" s="27"/>
      <c r="I3403" s="27" t="s">
        <v>275</v>
      </c>
    </row>
    <row r="3404" spans="1:16" ht="15.75" customHeight="1" x14ac:dyDescent="0.35">
      <c r="B3404" s="20"/>
      <c r="D3404" s="11"/>
      <c r="E3404" s="40"/>
      <c r="F3404" s="11"/>
      <c r="G3404" s="11"/>
      <c r="K3404" s="9" t="s">
        <v>377</v>
      </c>
      <c r="L3404" s="9"/>
    </row>
    <row r="3405" spans="1:16" ht="15.75" customHeight="1" x14ac:dyDescent="0.35">
      <c r="B3405" s="38"/>
      <c r="D3405" s="15"/>
      <c r="F3405" s="13"/>
      <c r="G3405" s="1" t="s">
        <v>296</v>
      </c>
      <c r="K3405" s="32"/>
      <c r="L3405" s="9"/>
      <c r="M3405" s="9"/>
    </row>
    <row r="3406" spans="1:16" ht="15.75" customHeight="1" x14ac:dyDescent="0.35">
      <c r="B3406" s="20"/>
      <c r="G3406" s="1"/>
      <c r="H3406" s="1"/>
      <c r="K3406" s="9"/>
      <c r="L3406" s="9"/>
      <c r="M3406" s="9"/>
    </row>
    <row r="3407" spans="1:16" ht="15.75" customHeight="1" x14ac:dyDescent="0.35">
      <c r="B3407" s="20"/>
      <c r="G3407" s="1"/>
      <c r="H3407" s="1"/>
      <c r="K3407" s="9" t="s">
        <v>297</v>
      </c>
      <c r="L3407" s="9"/>
      <c r="M3407" s="9"/>
    </row>
    <row r="3408" spans="1:16" ht="15.75" customHeight="1" x14ac:dyDescent="0.35">
      <c r="B3408" s="9"/>
      <c r="C3408" s="9"/>
      <c r="D3408" s="9"/>
      <c r="E3408" s="9"/>
      <c r="F3408" s="12"/>
      <c r="G3408" s="12"/>
      <c r="H3408" s="12"/>
      <c r="I3408" s="12"/>
      <c r="J3408" s="12"/>
      <c r="K3408" s="12"/>
      <c r="L3408" s="1"/>
    </row>
    <row r="3409" spans="1:16" ht="15.75" customHeight="1" x14ac:dyDescent="0.35">
      <c r="B3409" s="13"/>
      <c r="C3409" s="13"/>
      <c r="D3409" s="15"/>
      <c r="G3409" s="16"/>
      <c r="H3409" s="14" t="s">
        <v>255</v>
      </c>
      <c r="I3409" s="14"/>
      <c r="L3409" s="2" t="s">
        <v>456</v>
      </c>
    </row>
    <row r="3410" spans="1:16" x14ac:dyDescent="0.35">
      <c r="B3410" s="13" t="s">
        <v>5</v>
      </c>
      <c r="C3410" s="13" t="s">
        <v>1</v>
      </c>
      <c r="D3410" s="15" t="str">
        <f>VLOOKUP(A3411,Inventory!$A$4:$K$1139,7)</f>
        <v>Royal coffee</v>
      </c>
      <c r="F3410" s="13" t="s">
        <v>235</v>
      </c>
      <c r="G3410" s="16"/>
      <c r="L3410" s="17"/>
      <c r="M3410" s="17"/>
    </row>
    <row r="3411" spans="1:16" x14ac:dyDescent="0.35">
      <c r="A3411">
        <v>141</v>
      </c>
      <c r="B3411" s="5">
        <v>44093</v>
      </c>
      <c r="C3411" s="15" t="str">
        <f>VLOOKUP(A3411,Inventory!$A$4:$K$1139,2)</f>
        <v>Yemen Al-Haymah Rooftop Raised Bed Natural 2017</v>
      </c>
      <c r="F3411" s="31" t="s">
        <v>291</v>
      </c>
      <c r="G3411" s="2" t="s">
        <v>286</v>
      </c>
      <c r="L3411" s="17"/>
      <c r="M3411" s="17"/>
      <c r="P3411" s="8"/>
    </row>
    <row r="3412" spans="1:16" x14ac:dyDescent="0.35">
      <c r="B3412" t="s">
        <v>16</v>
      </c>
      <c r="G3412" s="16"/>
      <c r="L3412" s="19"/>
      <c r="M3412" s="19"/>
    </row>
    <row r="3413" spans="1:16" x14ac:dyDescent="0.35">
      <c r="B3413" s="20"/>
      <c r="C3413" s="11" t="s">
        <v>240</v>
      </c>
      <c r="D3413" s="11" t="s">
        <v>272</v>
      </c>
      <c r="E3413" s="11" t="s">
        <v>461</v>
      </c>
      <c r="F3413" s="11">
        <v>388</v>
      </c>
      <c r="G3413" s="11">
        <v>395</v>
      </c>
      <c r="H3413" s="11">
        <v>400</v>
      </c>
      <c r="I3413" s="11">
        <v>404</v>
      </c>
      <c r="J3413" s="11"/>
      <c r="K3413" s="11"/>
      <c r="L3413" s="28"/>
    </row>
    <row r="3414" spans="1:16" ht="15.75" customHeight="1" x14ac:dyDescent="0.35">
      <c r="B3414" s="20" t="s">
        <v>242</v>
      </c>
      <c r="C3414" s="21"/>
      <c r="D3414" s="22" t="s">
        <v>294</v>
      </c>
      <c r="E3414" s="23" t="s">
        <v>244</v>
      </c>
      <c r="F3414" s="23" t="s">
        <v>245</v>
      </c>
      <c r="G3414" s="23" t="s">
        <v>246</v>
      </c>
      <c r="H3414" s="23" t="s">
        <v>273</v>
      </c>
      <c r="I3414" s="23" t="s">
        <v>247</v>
      </c>
      <c r="O3414" s="4"/>
    </row>
    <row r="3415" spans="1:16" ht="1" customHeight="1" x14ac:dyDescent="0.35">
      <c r="B3415" s="24" t="s">
        <v>249</v>
      </c>
      <c r="C3415" s="25">
        <v>320</v>
      </c>
      <c r="D3415" s="25">
        <v>350</v>
      </c>
      <c r="E3415" s="25"/>
      <c r="F3415" s="25"/>
      <c r="G3415" s="25"/>
      <c r="H3415" s="23" t="s">
        <v>247</v>
      </c>
      <c r="I3415" s="25"/>
      <c r="O3415" t="e">
        <f>(O3413-3*O3412)/O3414</f>
        <v>#DIV/0!</v>
      </c>
    </row>
    <row r="3416" spans="1:16" ht="15.75" customHeight="1" x14ac:dyDescent="0.35">
      <c r="B3416" s="20" t="s">
        <v>250</v>
      </c>
      <c r="C3416" s="26">
        <v>0.16874999999999998</v>
      </c>
      <c r="D3416" s="26">
        <v>0.28125</v>
      </c>
      <c r="E3416" s="26">
        <v>0.39583333333333331</v>
      </c>
      <c r="F3416" s="26">
        <f>E3416+'Lookup Tables'!$N$1</f>
        <v>0.41666666666666663</v>
      </c>
      <c r="G3416" s="26">
        <f>F3416+'Lookup Tables'!$N$1</f>
        <v>0.43749999999999994</v>
      </c>
      <c r="H3416" s="26">
        <f>G3416+'Lookup Tables'!$S$1</f>
        <v>0.44791666666666663</v>
      </c>
      <c r="I3416" s="26">
        <f>H3416+'Lookup Tables'!$S$1</f>
        <v>0.45833333333333331</v>
      </c>
      <c r="N3416">
        <f>MAX(F3413:M3413)-O3416</f>
        <v>22</v>
      </c>
      <c r="O3416" t="str">
        <f>RIGHT(E3413,3)</f>
        <v>382</v>
      </c>
    </row>
    <row r="3417" spans="1:16" ht="15.75" customHeight="1" x14ac:dyDescent="0.35">
      <c r="B3417" s="20" t="s">
        <v>251</v>
      </c>
      <c r="C3417" s="27">
        <v>0.2</v>
      </c>
      <c r="D3417" s="27">
        <v>0.5</v>
      </c>
      <c r="E3417" s="27"/>
      <c r="F3417" s="27"/>
      <c r="G3417" s="27">
        <v>0.25</v>
      </c>
      <c r="H3417" s="27"/>
      <c r="I3417" s="27"/>
      <c r="N3417" t="str">
        <f xml:space="preserve">  N3416 &amp; " degrees this time"</f>
        <v>22 degrees this time</v>
      </c>
    </row>
    <row r="3418" spans="1:16" ht="15.75" customHeight="1" x14ac:dyDescent="0.35">
      <c r="B3418" s="20" t="s">
        <v>252</v>
      </c>
      <c r="C3418" s="27">
        <v>0.9</v>
      </c>
      <c r="D3418" s="27">
        <v>0.7</v>
      </c>
      <c r="E3418" s="27">
        <v>0.6</v>
      </c>
      <c r="F3418" s="27"/>
      <c r="G3418" s="27"/>
      <c r="H3418" s="27"/>
      <c r="I3418" s="27" t="s">
        <v>275</v>
      </c>
    </row>
    <row r="3419" spans="1:16" ht="15.75" customHeight="1" x14ac:dyDescent="0.35">
      <c r="B3419" s="20"/>
      <c r="D3419" s="11"/>
      <c r="E3419" s="40"/>
      <c r="F3419" s="11"/>
      <c r="G3419" s="11"/>
      <c r="K3419" s="9" t="s">
        <v>377</v>
      </c>
      <c r="L3419" s="9"/>
    </row>
    <row r="3420" spans="1:16" ht="15.75" customHeight="1" x14ac:dyDescent="0.35">
      <c r="B3420" s="38"/>
      <c r="D3420" s="15"/>
      <c r="F3420" s="13"/>
      <c r="G3420" s="1" t="s">
        <v>296</v>
      </c>
      <c r="K3420" s="32"/>
      <c r="L3420" s="9"/>
      <c r="M3420" s="9"/>
    </row>
    <row r="3421" spans="1:16" ht="15.75" customHeight="1" x14ac:dyDescent="0.35">
      <c r="B3421" s="20"/>
      <c r="G3421" s="1"/>
      <c r="H3421" s="1"/>
      <c r="K3421" s="9"/>
      <c r="L3421" s="9"/>
      <c r="M3421" s="9"/>
    </row>
    <row r="3422" spans="1:16" ht="15.75" customHeight="1" x14ac:dyDescent="0.35">
      <c r="B3422" s="20"/>
      <c r="G3422" s="1"/>
      <c r="H3422" s="1"/>
      <c r="K3422" s="9" t="s">
        <v>297</v>
      </c>
      <c r="L3422" s="9"/>
      <c r="M3422" s="9"/>
    </row>
    <row r="3423" spans="1:16" ht="15.75" customHeight="1" x14ac:dyDescent="0.35">
      <c r="B3423" s="9"/>
      <c r="C3423" s="9"/>
      <c r="D3423" s="9"/>
      <c r="E3423" s="9"/>
      <c r="F3423" s="12"/>
      <c r="G3423" s="12"/>
      <c r="H3423" s="12"/>
      <c r="I3423" s="12"/>
      <c r="J3423" s="12"/>
      <c r="K3423" s="12"/>
      <c r="L3423" s="1"/>
    </row>
    <row r="3424" spans="1:16" ht="15.75" customHeight="1" x14ac:dyDescent="0.35">
      <c r="B3424" s="13"/>
      <c r="C3424" s="13"/>
      <c r="D3424" s="13"/>
      <c r="E3424" s="13"/>
      <c r="G3424" s="13"/>
      <c r="I3424" s="14"/>
    </row>
    <row r="3425" spans="1:16" x14ac:dyDescent="0.35">
      <c r="B3425" s="13" t="s">
        <v>5</v>
      </c>
      <c r="C3425" s="13" t="s">
        <v>1</v>
      </c>
      <c r="D3425" s="15" t="str">
        <f>VLOOKUP(A3426,Inventory!$A$4:$K$1139,7)</f>
        <v xml:space="preserve">Sweet Marias                       </v>
      </c>
      <c r="F3425" s="13" t="s">
        <v>235</v>
      </c>
      <c r="G3425" s="16"/>
      <c r="H3425" s="14" t="s">
        <v>236</v>
      </c>
      <c r="L3425" s="17"/>
      <c r="M3425" s="17"/>
    </row>
    <row r="3426" spans="1:16" x14ac:dyDescent="0.35">
      <c r="A3426">
        <v>157</v>
      </c>
      <c r="B3426" s="5">
        <v>44079</v>
      </c>
      <c r="C3426" s="15" t="str">
        <f>VLOOKUP(A3426,Inventory!$A$4:$K$1139,2)</f>
        <v>Burundi Collines 2020 SWP Decaf</v>
      </c>
      <c r="F3426" s="18" t="s">
        <v>237</v>
      </c>
      <c r="G3426" s="2" t="s">
        <v>238</v>
      </c>
      <c r="L3426" s="17"/>
      <c r="M3426" s="17"/>
      <c r="P3426" s="8"/>
    </row>
    <row r="3427" spans="1:16" x14ac:dyDescent="0.35">
      <c r="I3427" s="2" t="s">
        <v>239</v>
      </c>
      <c r="J3427" s="1" t="s">
        <v>16</v>
      </c>
      <c r="L3427" s="19"/>
      <c r="M3427" s="19"/>
    </row>
    <row r="3428" spans="1:16" x14ac:dyDescent="0.35">
      <c r="C3428" s="11" t="s">
        <v>240</v>
      </c>
      <c r="D3428" s="11" t="s">
        <v>241</v>
      </c>
      <c r="E3428" s="11" t="s">
        <v>319</v>
      </c>
      <c r="F3428" s="11">
        <v>379</v>
      </c>
      <c r="G3428" s="11">
        <v>386</v>
      </c>
      <c r="H3428" s="11">
        <v>394</v>
      </c>
      <c r="I3428" s="11">
        <v>398</v>
      </c>
      <c r="J3428" s="11"/>
      <c r="K3428" s="11"/>
      <c r="L3428" s="11"/>
    </row>
    <row r="3429" spans="1:16" ht="15.75" customHeight="1" x14ac:dyDescent="0.35">
      <c r="B3429" s="20" t="s">
        <v>242</v>
      </c>
      <c r="C3429" s="21"/>
      <c r="D3429" s="22" t="s">
        <v>294</v>
      </c>
      <c r="E3429" s="23" t="s">
        <v>244</v>
      </c>
      <c r="F3429" s="23" t="s">
        <v>245</v>
      </c>
      <c r="G3429" s="23" t="s">
        <v>246</v>
      </c>
      <c r="H3429" s="23" t="s">
        <v>247</v>
      </c>
      <c r="I3429" s="23" t="s">
        <v>248</v>
      </c>
      <c r="J3429" s="23" t="s">
        <v>259</v>
      </c>
      <c r="O3429" s="4"/>
    </row>
    <row r="3430" spans="1:16" ht="1" customHeight="1" x14ac:dyDescent="0.35">
      <c r="B3430" s="24" t="s">
        <v>249</v>
      </c>
      <c r="C3430" s="25">
        <v>320</v>
      </c>
      <c r="D3430" s="25">
        <v>350</v>
      </c>
      <c r="E3430" s="25">
        <v>377</v>
      </c>
      <c r="F3430" s="25">
        <v>384</v>
      </c>
      <c r="G3430" s="25">
        <v>388</v>
      </c>
      <c r="H3430" s="25">
        <v>392</v>
      </c>
      <c r="I3430" s="25"/>
      <c r="J3430" s="25">
        <v>415</v>
      </c>
      <c r="O3430" t="e">
        <f>(O3428-3*O3427)/O3429</f>
        <v>#DIV/0!</v>
      </c>
    </row>
    <row r="3431" spans="1:16" ht="15.75" customHeight="1" x14ac:dyDescent="0.35">
      <c r="B3431" s="20" t="s">
        <v>250</v>
      </c>
      <c r="C3431" s="26">
        <v>0.23958333333333334</v>
      </c>
      <c r="D3431" s="26">
        <v>0.31944444444444448</v>
      </c>
      <c r="E3431" s="26">
        <v>0.42708333333333331</v>
      </c>
      <c r="F3431" s="26">
        <f>E3431+'Lookup Tables'!$N$1</f>
        <v>0.44791666666666663</v>
      </c>
      <c r="G3431" s="26">
        <f>F3431+'Lookup Tables'!$N$1</f>
        <v>0.46874999999999994</v>
      </c>
      <c r="H3431" s="26">
        <f>G3431+'Lookup Tables'!$N$1</f>
        <v>0.48958333333333326</v>
      </c>
      <c r="I3431" s="26">
        <f>H3431+'Lookup Tables'!$S$1</f>
        <v>0.49999999999999994</v>
      </c>
      <c r="J3431" s="26">
        <f>I3431+'Lookup Tables'!$M$1</f>
        <v>0.51041666666666663</v>
      </c>
      <c r="N3431">
        <f>MAX(F3428:M3428)-O3431</f>
        <v>25</v>
      </c>
      <c r="O3431" t="str">
        <f>RIGHT(E3428,3)</f>
        <v>373</v>
      </c>
    </row>
    <row r="3432" spans="1:16" ht="15.75" customHeight="1" x14ac:dyDescent="0.35">
      <c r="B3432" s="20" t="s">
        <v>251</v>
      </c>
      <c r="C3432" s="27">
        <v>0.2</v>
      </c>
      <c r="D3432" s="27">
        <v>0.5</v>
      </c>
      <c r="E3432" s="27"/>
      <c r="F3432" s="27"/>
      <c r="G3432" s="27"/>
      <c r="H3432" s="27"/>
      <c r="I3432" s="25"/>
      <c r="J3432" s="27"/>
      <c r="N3432" t="str">
        <f xml:space="preserve">  N3431 &amp; " degrees this time"</f>
        <v>25 degrees this time</v>
      </c>
    </row>
    <row r="3433" spans="1:16" ht="15.75" customHeight="1" x14ac:dyDescent="0.35">
      <c r="B3433" s="20" t="s">
        <v>252</v>
      </c>
      <c r="C3433" s="27">
        <v>0.9</v>
      </c>
      <c r="D3433" s="27">
        <v>0.7</v>
      </c>
      <c r="E3433" s="27">
        <v>0.6</v>
      </c>
      <c r="F3433" s="27"/>
      <c r="G3433" s="27"/>
      <c r="H3433" s="27"/>
      <c r="I3433" s="27" t="s">
        <v>275</v>
      </c>
      <c r="J3433" s="27"/>
    </row>
    <row r="3434" spans="1:16" ht="15.75" customHeight="1" x14ac:dyDescent="0.35">
      <c r="B3434" s="20"/>
      <c r="D3434" s="11"/>
      <c r="E3434" s="11"/>
      <c r="F3434" s="28"/>
      <c r="H3434" s="1"/>
      <c r="I3434" s="1"/>
    </row>
    <row r="3435" spans="1:16" ht="15.75" customHeight="1" x14ac:dyDescent="0.35">
      <c r="C3435" s="1" t="s">
        <v>454</v>
      </c>
      <c r="G3435" s="1" t="s">
        <v>253</v>
      </c>
      <c r="K3435" s="12"/>
      <c r="L3435" s="9"/>
      <c r="M3435" s="9"/>
    </row>
    <row r="3436" spans="1:16" ht="15.75" customHeight="1" x14ac:dyDescent="0.35">
      <c r="B3436" s="20"/>
      <c r="G3436" s="1"/>
      <c r="H3436" s="1"/>
      <c r="K3436" s="9"/>
      <c r="L3436" s="9"/>
      <c r="M3436" s="9"/>
    </row>
    <row r="3437" spans="1:16" ht="15.75" customHeight="1" x14ac:dyDescent="0.35">
      <c r="B3437" s="20"/>
      <c r="G3437" s="1"/>
      <c r="H3437" s="1"/>
      <c r="K3437" s="9" t="s">
        <v>254</v>
      </c>
      <c r="L3437" s="9"/>
      <c r="M3437" s="9"/>
    </row>
    <row r="3438" spans="1:16" ht="15.75" customHeight="1" x14ac:dyDescent="0.35">
      <c r="B3438" s="9"/>
      <c r="C3438" s="9"/>
      <c r="D3438" s="9"/>
      <c r="E3438" s="9"/>
      <c r="F3438" s="12"/>
      <c r="G3438" s="12"/>
      <c r="H3438" s="12"/>
      <c r="I3438" s="12"/>
      <c r="J3438" s="12"/>
      <c r="K3438" s="12"/>
      <c r="L3438" s="1"/>
    </row>
    <row r="3439" spans="1:16" ht="15.75" customHeight="1" x14ac:dyDescent="0.35">
      <c r="B3439" s="13"/>
      <c r="C3439" s="13"/>
      <c r="D3439" s="15"/>
      <c r="H3439" s="14" t="s">
        <v>255</v>
      </c>
      <c r="I3439" s="14"/>
    </row>
    <row r="3440" spans="1:16" x14ac:dyDescent="0.35">
      <c r="B3440" s="13" t="s">
        <v>5</v>
      </c>
      <c r="C3440" s="13" t="s">
        <v>1</v>
      </c>
      <c r="D3440" s="15" t="str">
        <f>VLOOKUP(A3441,Inventory!$A$4:$K$1139,7)</f>
        <v xml:space="preserve">Sweet Marias                       </v>
      </c>
      <c r="F3440" s="13" t="s">
        <v>235</v>
      </c>
      <c r="G3440" s="16"/>
      <c r="H3440" s="14" t="s">
        <v>256</v>
      </c>
      <c r="K3440" s="12" t="s">
        <v>334</v>
      </c>
      <c r="L3440" s="9"/>
      <c r="M3440" s="9"/>
    </row>
    <row r="3441" spans="1:16" x14ac:dyDescent="0.35">
      <c r="A3441">
        <v>157</v>
      </c>
      <c r="B3441" s="5">
        <v>44079</v>
      </c>
      <c r="C3441" s="15" t="str">
        <f>VLOOKUP(A3441,Inventory!$A$4:$K$1139,2)</f>
        <v>Burundi Collines 2020 SWP Decaf</v>
      </c>
      <c r="F3441" s="18" t="s">
        <v>257</v>
      </c>
      <c r="G3441" s="2" t="s">
        <v>238</v>
      </c>
      <c r="P3441" s="8"/>
    </row>
    <row r="3442" spans="1:16" x14ac:dyDescent="0.35">
      <c r="H3442" s="2" t="s">
        <v>258</v>
      </c>
    </row>
    <row r="3443" spans="1:16" x14ac:dyDescent="0.35">
      <c r="C3443" s="11" t="s">
        <v>240</v>
      </c>
      <c r="D3443" s="11" t="s">
        <v>241</v>
      </c>
      <c r="E3443" s="11" t="s">
        <v>490</v>
      </c>
      <c r="F3443" s="11">
        <v>385</v>
      </c>
      <c r="G3443" s="11">
        <v>391</v>
      </c>
      <c r="H3443" s="11">
        <v>399</v>
      </c>
      <c r="I3443" s="11"/>
      <c r="J3443" s="11"/>
      <c r="K3443" s="11"/>
      <c r="L3443" s="11"/>
    </row>
    <row r="3444" spans="1:16" ht="15.75" customHeight="1" x14ac:dyDescent="0.35">
      <c r="B3444" s="20" t="s">
        <v>242</v>
      </c>
      <c r="C3444" s="21"/>
      <c r="D3444" s="22" t="s">
        <v>509</v>
      </c>
      <c r="E3444" s="23" t="s">
        <v>244</v>
      </c>
      <c r="F3444" s="23" t="s">
        <v>245</v>
      </c>
      <c r="G3444" s="23" t="s">
        <v>246</v>
      </c>
      <c r="H3444" s="23" t="s">
        <v>247</v>
      </c>
      <c r="I3444" s="23" t="s">
        <v>259</v>
      </c>
      <c r="J3444" s="23" t="s">
        <v>260</v>
      </c>
      <c r="K3444" s="23" t="s">
        <v>261</v>
      </c>
      <c r="O3444" s="4"/>
    </row>
    <row r="3445" spans="1:16" ht="1" customHeight="1" x14ac:dyDescent="0.35">
      <c r="B3445" s="24" t="s">
        <v>249</v>
      </c>
      <c r="C3445" s="25">
        <v>320</v>
      </c>
      <c r="D3445" s="25">
        <v>350</v>
      </c>
      <c r="E3445" s="25">
        <v>377</v>
      </c>
      <c r="F3445" s="25">
        <v>384</v>
      </c>
      <c r="G3445" s="25">
        <v>388</v>
      </c>
      <c r="H3445" s="25">
        <v>392</v>
      </c>
      <c r="I3445" s="25">
        <v>395</v>
      </c>
      <c r="J3445" s="25">
        <v>415</v>
      </c>
      <c r="K3445" s="25">
        <v>415</v>
      </c>
      <c r="O3445" t="e">
        <f>(O3443-3*O3442)/O3444</f>
        <v>#DIV/0!</v>
      </c>
    </row>
    <row r="3446" spans="1:16" ht="15.75" customHeight="1" x14ac:dyDescent="0.35">
      <c r="B3446" s="20" t="s">
        <v>250</v>
      </c>
      <c r="C3446" s="26">
        <v>0.21180555555555555</v>
      </c>
      <c r="D3446" s="26">
        <v>0.2951388888888889</v>
      </c>
      <c r="E3446" s="26">
        <v>0.4236111111111111</v>
      </c>
      <c r="F3446" s="26">
        <f>E3446+'Lookup Tables'!$N$1</f>
        <v>0.44444444444444442</v>
      </c>
      <c r="G3446" s="26">
        <f>F3446+'Lookup Tables'!$N$1</f>
        <v>0.46527777777777773</v>
      </c>
      <c r="H3446" s="26">
        <f>G3446+'Lookup Tables'!$N$1</f>
        <v>0.48611111111111105</v>
      </c>
      <c r="I3446" s="26">
        <f>H3446+'Lookup Tables'!$N$1</f>
        <v>0.50694444444444442</v>
      </c>
      <c r="J3446" s="26">
        <f>I3446+'Lookup Tables'!$M$1</f>
        <v>0.51736111111111105</v>
      </c>
      <c r="K3446" s="26">
        <f>J3446+'Lookup Tables'!$M$1</f>
        <v>0.52777777777777768</v>
      </c>
      <c r="N3446">
        <f>MAX(F3443:M3443)-O3446</f>
        <v>19</v>
      </c>
      <c r="O3446" t="str">
        <f>RIGHT(E3443,3)</f>
        <v>380</v>
      </c>
    </row>
    <row r="3447" spans="1:16" ht="15.75" customHeight="1" x14ac:dyDescent="0.35">
      <c r="B3447" s="20" t="s">
        <v>251</v>
      </c>
      <c r="C3447" s="27">
        <v>0.2</v>
      </c>
      <c r="D3447" s="27">
        <v>0.5</v>
      </c>
      <c r="E3447" s="27"/>
      <c r="F3447" s="27"/>
      <c r="G3447" s="27"/>
      <c r="H3447" s="27"/>
      <c r="I3447" s="27"/>
      <c r="J3447" s="27"/>
      <c r="K3447" s="25"/>
      <c r="N3447" t="str">
        <f xml:space="preserve">  N3446 &amp; " degrees this time"</f>
        <v>19 degrees this time</v>
      </c>
    </row>
    <row r="3448" spans="1:16" ht="15.75" customHeight="1" x14ac:dyDescent="0.35">
      <c r="B3448" s="20" t="s">
        <v>252</v>
      </c>
      <c r="C3448" s="27">
        <v>0.9</v>
      </c>
      <c r="D3448" s="27">
        <v>0.7</v>
      </c>
      <c r="E3448" s="27">
        <v>0.6</v>
      </c>
      <c r="F3448" s="27"/>
      <c r="G3448" s="27"/>
      <c r="H3448" s="27"/>
      <c r="I3448" s="27"/>
      <c r="J3448" s="27"/>
      <c r="K3448" s="27"/>
    </row>
    <row r="3449" spans="1:16" ht="15.75" customHeight="1" x14ac:dyDescent="0.35">
      <c r="B3449" s="20"/>
      <c r="D3449" s="11"/>
      <c r="E3449" s="11"/>
      <c r="F3449" s="28"/>
      <c r="H3449" s="1"/>
    </row>
    <row r="3450" spans="1:16" ht="15.75" customHeight="1" x14ac:dyDescent="0.35">
      <c r="B3450" s="1" t="s">
        <v>262</v>
      </c>
      <c r="F3450" t="s">
        <v>263</v>
      </c>
      <c r="G3450" s="1"/>
      <c r="K3450" s="12"/>
      <c r="L3450" s="9"/>
      <c r="M3450" s="9"/>
    </row>
    <row r="3451" spans="1:16" ht="15.75" customHeight="1" x14ac:dyDescent="0.35">
      <c r="B3451" s="20" t="s">
        <v>264</v>
      </c>
      <c r="D3451" s="29"/>
      <c r="F3451" t="s">
        <v>265</v>
      </c>
      <c r="G3451" s="1"/>
      <c r="H3451" s="1"/>
      <c r="K3451" s="9" t="s">
        <v>266</v>
      </c>
      <c r="L3451" s="9"/>
      <c r="M3451" s="9"/>
    </row>
    <row r="3452" spans="1:16" ht="15.75" customHeight="1" x14ac:dyDescent="0.35">
      <c r="B3452" s="20" t="s">
        <v>267</v>
      </c>
      <c r="F3452" t="s">
        <v>268</v>
      </c>
      <c r="G3452" s="1"/>
      <c r="H3452" s="1"/>
      <c r="K3452" s="9" t="s">
        <v>254</v>
      </c>
      <c r="L3452" s="9"/>
      <c r="M3452" s="9"/>
    </row>
    <row r="3453" spans="1:16" ht="15.75" customHeight="1" x14ac:dyDescent="0.35">
      <c r="B3453" s="9"/>
      <c r="C3453" s="9"/>
      <c r="D3453" s="9"/>
      <c r="E3453" s="9"/>
      <c r="F3453" s="12"/>
      <c r="G3453" s="12"/>
      <c r="H3453" s="12"/>
      <c r="I3453" s="12"/>
      <c r="J3453" s="12"/>
      <c r="K3453" s="12"/>
      <c r="L3453" s="1"/>
    </row>
    <row r="3454" spans="1:16" ht="15.75" customHeight="1" x14ac:dyDescent="0.35">
      <c r="B3454" s="13"/>
      <c r="C3454" s="13"/>
      <c r="D3454" s="13"/>
      <c r="E3454" s="13"/>
      <c r="F3454" s="13"/>
      <c r="H3454" s="16"/>
      <c r="I3454" s="14" t="s">
        <v>255</v>
      </c>
    </row>
    <row r="3455" spans="1:16" x14ac:dyDescent="0.35">
      <c r="B3455" s="13" t="s">
        <v>5</v>
      </c>
      <c r="C3455" s="13" t="s">
        <v>1</v>
      </c>
      <c r="D3455" s="15" t="e">
        <f>VLOOKUP(A3456,Inventory!$A$4:$K$1139,7)</f>
        <v>#N/A</v>
      </c>
      <c r="F3455" s="13" t="s">
        <v>235</v>
      </c>
      <c r="G3455" s="16"/>
      <c r="J3455" s="8"/>
      <c r="K3455" s="17"/>
      <c r="L3455" s="17"/>
      <c r="M3455" s="17"/>
    </row>
    <row r="3456" spans="1:16" x14ac:dyDescent="0.35">
      <c r="A3456">
        <v>0</v>
      </c>
      <c r="B3456" s="5">
        <v>44079</v>
      </c>
      <c r="C3456" s="15" t="s">
        <v>364</v>
      </c>
      <c r="F3456" s="51" t="s">
        <v>346</v>
      </c>
      <c r="G3456" s="2" t="s">
        <v>238</v>
      </c>
      <c r="L3456" s="17"/>
      <c r="M3456" s="17"/>
      <c r="P3456" s="8"/>
    </row>
    <row r="3457" spans="1:16" x14ac:dyDescent="0.35">
      <c r="B3457" s="13"/>
      <c r="C3457" s="13"/>
      <c r="D3457" s="15"/>
      <c r="F3457" s="13"/>
      <c r="G3457" s="16"/>
      <c r="J3457" s="2" t="s">
        <v>239</v>
      </c>
      <c r="L3457" s="19"/>
      <c r="M3457" s="19"/>
    </row>
    <row r="3458" spans="1:16" x14ac:dyDescent="0.35">
      <c r="B3458" s="20"/>
      <c r="C3458" s="11" t="s">
        <v>240</v>
      </c>
      <c r="D3458" s="11" t="s">
        <v>272</v>
      </c>
      <c r="E3458" s="11" t="s">
        <v>462</v>
      </c>
      <c r="F3458" s="11">
        <v>384</v>
      </c>
      <c r="G3458" s="11">
        <v>390</v>
      </c>
      <c r="H3458" s="11">
        <v>397</v>
      </c>
      <c r="I3458" s="11">
        <v>404</v>
      </c>
      <c r="J3458" s="11">
        <v>408</v>
      </c>
      <c r="K3458" s="11"/>
      <c r="L3458" s="11"/>
    </row>
    <row r="3459" spans="1:16" ht="15.75" customHeight="1" x14ac:dyDescent="0.35">
      <c r="B3459" s="20" t="s">
        <v>242</v>
      </c>
      <c r="C3459" s="30"/>
      <c r="D3459" s="30"/>
      <c r="E3459" s="23" t="s">
        <v>244</v>
      </c>
      <c r="F3459" s="23" t="s">
        <v>245</v>
      </c>
      <c r="G3459" s="23" t="s">
        <v>246</v>
      </c>
      <c r="H3459" s="23" t="s">
        <v>247</v>
      </c>
      <c r="I3459" s="23" t="s">
        <v>259</v>
      </c>
      <c r="J3459" s="23" t="s">
        <v>260</v>
      </c>
      <c r="O3459" s="4"/>
    </row>
    <row r="3460" spans="1:16" ht="1" customHeight="1" x14ac:dyDescent="0.35">
      <c r="B3460" s="24" t="s">
        <v>249</v>
      </c>
      <c r="C3460" s="25"/>
      <c r="D3460" s="25"/>
      <c r="E3460" s="25"/>
      <c r="F3460" s="25"/>
      <c r="G3460" s="25"/>
      <c r="H3460" s="25"/>
      <c r="I3460" s="25"/>
      <c r="O3460" t="e">
        <f>(O3458-3*O3457)/O3459</f>
        <v>#DIV/0!</v>
      </c>
    </row>
    <row r="3461" spans="1:16" ht="15.75" customHeight="1" x14ac:dyDescent="0.35">
      <c r="B3461" s="20" t="s">
        <v>250</v>
      </c>
      <c r="C3461" s="26">
        <v>0.22222222222222221</v>
      </c>
      <c r="D3461" s="26">
        <v>0.3125</v>
      </c>
      <c r="E3461" s="26">
        <v>0.41666666666666669</v>
      </c>
      <c r="F3461" s="26">
        <f>E3461+'Lookup Tables'!$N$1</f>
        <v>0.4375</v>
      </c>
      <c r="G3461" s="26">
        <f>F3461+'Lookup Tables'!$N$1</f>
        <v>0.45833333333333331</v>
      </c>
      <c r="H3461" s="26">
        <f>G3461+'Lookup Tables'!$N$1</f>
        <v>0.47916666666666663</v>
      </c>
      <c r="I3461" s="26">
        <f>H3461+'Lookup Tables'!$N$1</f>
        <v>0.49999999999999994</v>
      </c>
      <c r="J3461" s="26">
        <f>I3461+'Lookup Tables'!$M$1</f>
        <v>0.51041666666666663</v>
      </c>
      <c r="N3461">
        <f>MAX(F3458:M3458)-O3461</f>
        <v>31</v>
      </c>
      <c r="O3461" t="str">
        <f>RIGHT(E3458,3)</f>
        <v>377</v>
      </c>
    </row>
    <row r="3462" spans="1:16" ht="15.75" customHeight="1" x14ac:dyDescent="0.35">
      <c r="B3462" s="20" t="s">
        <v>251</v>
      </c>
      <c r="C3462" s="27">
        <v>0.2</v>
      </c>
      <c r="D3462" s="27">
        <v>0.5</v>
      </c>
      <c r="E3462" s="27"/>
      <c r="F3462" s="27"/>
      <c r="G3462" s="27" t="s">
        <v>274</v>
      </c>
      <c r="H3462" s="27"/>
      <c r="I3462" s="27"/>
      <c r="J3462" s="27"/>
      <c r="N3462" t="str">
        <f xml:space="preserve">  N3461 &amp; " degrees this time"</f>
        <v>31 degrees this time</v>
      </c>
    </row>
    <row r="3463" spans="1:16" ht="15.75" customHeight="1" x14ac:dyDescent="0.35">
      <c r="B3463" s="20" t="s">
        <v>252</v>
      </c>
      <c r="C3463" s="27">
        <v>0.9</v>
      </c>
      <c r="D3463" s="27">
        <v>0.8</v>
      </c>
      <c r="E3463" s="27">
        <v>0.7</v>
      </c>
      <c r="F3463" s="27">
        <v>0.4</v>
      </c>
      <c r="G3463" s="27" t="s">
        <v>274</v>
      </c>
      <c r="H3463" s="27"/>
      <c r="I3463" s="27"/>
      <c r="J3463" s="27" t="s">
        <v>275</v>
      </c>
    </row>
    <row r="3464" spans="1:16" ht="15.75" customHeight="1" x14ac:dyDescent="0.35">
      <c r="B3464" s="20"/>
      <c r="D3464" s="11"/>
      <c r="E3464" s="11"/>
      <c r="F3464" s="11"/>
      <c r="G3464" s="13"/>
      <c r="H3464" s="13"/>
      <c r="I3464" s="13"/>
      <c r="J3464" s="37"/>
      <c r="L3464" s="35"/>
    </row>
    <row r="3465" spans="1:16" ht="15.75" customHeight="1" x14ac:dyDescent="0.35">
      <c r="G3465" s="1" t="s">
        <v>366</v>
      </c>
      <c r="H3465" s="1"/>
      <c r="K3465" s="9" t="s">
        <v>367</v>
      </c>
      <c r="L3465" s="9"/>
      <c r="M3465" s="9"/>
    </row>
    <row r="3466" spans="1:16" ht="15.75" customHeight="1" x14ac:dyDescent="0.35">
      <c r="B3466" s="20"/>
      <c r="G3466" s="1"/>
      <c r="H3466" s="1"/>
      <c r="K3466" s="32" t="s">
        <v>368</v>
      </c>
      <c r="L3466" s="9"/>
      <c r="M3466" s="9"/>
    </row>
    <row r="3467" spans="1:16" ht="15.75" customHeight="1" x14ac:dyDescent="0.35">
      <c r="B3467" s="20"/>
      <c r="G3467" s="1"/>
      <c r="H3467" s="1"/>
      <c r="K3467" s="9" t="s">
        <v>254</v>
      </c>
      <c r="L3467" s="9"/>
      <c r="M3467" s="9"/>
    </row>
    <row r="3468" spans="1:16" ht="15.75" customHeight="1" x14ac:dyDescent="0.35">
      <c r="B3468" s="9"/>
      <c r="C3468" s="9"/>
      <c r="D3468" s="9"/>
      <c r="E3468" s="9"/>
      <c r="F3468" s="12"/>
      <c r="G3468" s="12"/>
      <c r="H3468" s="12"/>
      <c r="I3468" s="12"/>
      <c r="J3468" s="12"/>
      <c r="K3468" s="12"/>
      <c r="L3468" s="1"/>
    </row>
    <row r="3469" spans="1:16" ht="15.75" customHeight="1" x14ac:dyDescent="0.35">
      <c r="B3469" s="13"/>
      <c r="C3469" s="13"/>
      <c r="D3469" s="15"/>
    </row>
    <row r="3470" spans="1:16" x14ac:dyDescent="0.35">
      <c r="B3470" s="13" t="s">
        <v>5</v>
      </c>
      <c r="C3470" s="13" t="s">
        <v>1</v>
      </c>
      <c r="D3470" s="15" t="str">
        <f>VLOOKUP(A3471,Inventory!$A$4:$K$1139,7)</f>
        <v xml:space="preserve">GCBC                               </v>
      </c>
      <c r="F3470" s="13" t="s">
        <v>235</v>
      </c>
      <c r="G3470" s="16"/>
      <c r="L3470" s="17"/>
      <c r="M3470" s="17"/>
    </row>
    <row r="3471" spans="1:16" x14ac:dyDescent="0.35">
      <c r="A3471">
        <v>145</v>
      </c>
      <c r="B3471" s="5">
        <v>44077</v>
      </c>
      <c r="C3471" s="15" t="str">
        <f>VLOOKUP(A3471,Inventory!$A$4:$K$1139,2)</f>
        <v>Sumatra Harimau Tiger 2018</v>
      </c>
      <c r="E3471" s="11"/>
      <c r="F3471" s="34" t="s">
        <v>279</v>
      </c>
      <c r="G3471" s="2" t="s">
        <v>270</v>
      </c>
      <c r="J3471" s="8"/>
      <c r="L3471" s="17"/>
      <c r="M3471" s="17"/>
      <c r="P3471" s="8"/>
    </row>
    <row r="3472" spans="1:16" x14ac:dyDescent="0.35">
      <c r="B3472" s="13"/>
      <c r="C3472" s="13"/>
      <c r="D3472" s="11"/>
      <c r="F3472" s="13"/>
      <c r="G3472" s="16"/>
      <c r="K3472" s="1"/>
      <c r="L3472" s="19"/>
      <c r="M3472" s="19"/>
    </row>
    <row r="3473" spans="1:16" x14ac:dyDescent="0.35">
      <c r="B3473" s="20"/>
      <c r="C3473" s="11" t="s">
        <v>240</v>
      </c>
      <c r="D3473" s="11" t="s">
        <v>301</v>
      </c>
      <c r="E3473" s="11" t="s">
        <v>441</v>
      </c>
      <c r="F3473" s="11">
        <v>375</v>
      </c>
      <c r="G3473" s="11">
        <v>381</v>
      </c>
      <c r="H3473" s="11">
        <v>387</v>
      </c>
      <c r="I3473" s="11">
        <v>393</v>
      </c>
      <c r="J3473" s="11">
        <v>395</v>
      </c>
      <c r="K3473" s="11" t="s">
        <v>457</v>
      </c>
      <c r="L3473" s="11"/>
    </row>
    <row r="3474" spans="1:16" ht="15.75" customHeight="1" x14ac:dyDescent="0.35">
      <c r="B3474" s="20" t="s">
        <v>242</v>
      </c>
      <c r="C3474" s="21"/>
      <c r="D3474" s="22" t="s">
        <v>294</v>
      </c>
      <c r="E3474" s="23" t="s">
        <v>244</v>
      </c>
      <c r="F3474" s="23" t="s">
        <v>245</v>
      </c>
      <c r="G3474" s="23" t="s">
        <v>246</v>
      </c>
      <c r="H3474" s="23" t="s">
        <v>247</v>
      </c>
      <c r="I3474" s="23" t="s">
        <v>259</v>
      </c>
      <c r="J3474" s="23" t="s">
        <v>260</v>
      </c>
      <c r="O3474" s="4"/>
    </row>
    <row r="3475" spans="1:16" ht="1" customHeight="1" x14ac:dyDescent="0.35">
      <c r="B3475" s="24" t="s">
        <v>249</v>
      </c>
      <c r="C3475" s="25"/>
      <c r="D3475" s="25"/>
      <c r="E3475" s="25"/>
      <c r="F3475" s="25"/>
      <c r="G3475" s="25"/>
      <c r="H3475" s="25"/>
      <c r="I3475" s="25"/>
      <c r="J3475" s="25"/>
      <c r="O3475" t="e">
        <f>(O3473-3*O3472)/O3474</f>
        <v>#DIV/0!</v>
      </c>
    </row>
    <row r="3476" spans="1:16" ht="15.75" customHeight="1" x14ac:dyDescent="0.35">
      <c r="B3476" s="20" t="s">
        <v>250</v>
      </c>
      <c r="C3476" s="26">
        <v>0.23263888888888887</v>
      </c>
      <c r="D3476" s="26">
        <v>0.3263888888888889</v>
      </c>
      <c r="E3476" s="26">
        <v>0.39583333333333331</v>
      </c>
      <c r="F3476" s="26">
        <f>E3476+'Lookup Tables'!$N$1</f>
        <v>0.41666666666666663</v>
      </c>
      <c r="G3476" s="26">
        <f>F3476+'Lookup Tables'!$N$1</f>
        <v>0.43749999999999994</v>
      </c>
      <c r="H3476" s="26">
        <f>G3476+'Lookup Tables'!$N$1</f>
        <v>0.45833333333333326</v>
      </c>
      <c r="I3476" s="26">
        <f>H3476+'Lookup Tables'!$N$1</f>
        <v>0.47916666666666657</v>
      </c>
      <c r="J3476" s="26">
        <f>I3476+'Lookup Tables'!$S$1</f>
        <v>0.48958333333333326</v>
      </c>
      <c r="N3476">
        <f>MAX(F3473:M3473)-O3476</f>
        <v>26</v>
      </c>
      <c r="O3476" t="str">
        <f>RIGHT(E3473,3)</f>
        <v>369</v>
      </c>
    </row>
    <row r="3477" spans="1:16" ht="15.75" customHeight="1" x14ac:dyDescent="0.35">
      <c r="B3477" s="20" t="s">
        <v>251</v>
      </c>
      <c r="C3477" s="27">
        <v>0.2</v>
      </c>
      <c r="D3477" s="27">
        <v>0.5</v>
      </c>
      <c r="E3477" s="27"/>
      <c r="F3477" s="27"/>
      <c r="G3477" s="27"/>
      <c r="H3477" s="27"/>
      <c r="I3477" s="27"/>
      <c r="J3477" s="27"/>
      <c r="N3477" t="str">
        <f xml:space="preserve">  N3476 &amp; " degrees this time"</f>
        <v>26 degrees this time</v>
      </c>
    </row>
    <row r="3478" spans="1:16" ht="15.75" customHeight="1" x14ac:dyDescent="0.35">
      <c r="B3478" s="20" t="s">
        <v>252</v>
      </c>
      <c r="C3478" s="27">
        <v>0.9</v>
      </c>
      <c r="D3478" s="27">
        <v>0.7</v>
      </c>
      <c r="E3478" s="27">
        <v>0.4</v>
      </c>
      <c r="F3478" s="27" t="s">
        <v>274</v>
      </c>
      <c r="G3478" s="27"/>
      <c r="H3478" s="27"/>
      <c r="I3478" s="27"/>
      <c r="J3478" s="27"/>
    </row>
    <row r="3479" spans="1:16" ht="15.75" customHeight="1" x14ac:dyDescent="0.35">
      <c r="B3479" s="20"/>
      <c r="D3479" s="11"/>
      <c r="E3479" s="11"/>
      <c r="F3479" s="11"/>
      <c r="G3479" s="11"/>
      <c r="H3479" s="11"/>
      <c r="I3479" s="11"/>
      <c r="J3479" s="37"/>
      <c r="K3479" s="37"/>
      <c r="L3479" s="35"/>
    </row>
    <row r="3480" spans="1:16" ht="15.75" customHeight="1" x14ac:dyDescent="0.35">
      <c r="B3480" s="38"/>
      <c r="E3480" s="11"/>
      <c r="G3480" s="1" t="s">
        <v>317</v>
      </c>
      <c r="H3480" s="1"/>
      <c r="K3480" s="32"/>
      <c r="L3480" s="9"/>
      <c r="M3480" s="9"/>
    </row>
    <row r="3481" spans="1:16" ht="15.75" customHeight="1" x14ac:dyDescent="0.35">
      <c r="B3481" s="20"/>
      <c r="G3481" s="1"/>
      <c r="H3481" s="1"/>
      <c r="K3481" s="32"/>
      <c r="L3481" s="9"/>
      <c r="M3481" s="9"/>
    </row>
    <row r="3482" spans="1:16" ht="15.75" customHeight="1" x14ac:dyDescent="0.35">
      <c r="B3482" s="20"/>
      <c r="G3482" s="1"/>
      <c r="H3482" s="1"/>
      <c r="K3482" s="9" t="s">
        <v>300</v>
      </c>
      <c r="L3482" s="9"/>
      <c r="M3482" s="9"/>
    </row>
    <row r="3483" spans="1:16" ht="15.75" customHeight="1" x14ac:dyDescent="0.35">
      <c r="B3483" s="9"/>
      <c r="C3483" s="9"/>
      <c r="D3483" s="9"/>
      <c r="E3483" s="9"/>
      <c r="F3483" s="12"/>
      <c r="G3483" s="12"/>
      <c r="H3483" s="12"/>
      <c r="I3483" s="12"/>
      <c r="J3483" s="12"/>
      <c r="K3483" s="12"/>
      <c r="L3483" s="1"/>
    </row>
    <row r="3484" spans="1:16" ht="15.75" customHeight="1" x14ac:dyDescent="0.35">
      <c r="B3484" s="13"/>
      <c r="C3484" s="13"/>
      <c r="D3484" s="15"/>
      <c r="F3484" s="33" t="s">
        <v>326</v>
      </c>
      <c r="G3484" s="13"/>
      <c r="H3484" s="14"/>
      <c r="I3484" s="13"/>
      <c r="J3484" s="1"/>
    </row>
    <row r="3485" spans="1:16" x14ac:dyDescent="0.35">
      <c r="B3485" s="13" t="s">
        <v>5</v>
      </c>
      <c r="C3485" s="13" t="s">
        <v>1</v>
      </c>
      <c r="D3485" s="15" t="str">
        <f>VLOOKUP(A3486,Inventory!$A$4:$K$1139,7)</f>
        <v xml:space="preserve">GCBC                               </v>
      </c>
      <c r="F3485" s="13" t="s">
        <v>235</v>
      </c>
      <c r="G3485" s="16"/>
      <c r="L3485" s="17"/>
      <c r="M3485" s="17"/>
    </row>
    <row r="3486" spans="1:16" x14ac:dyDescent="0.35">
      <c r="A3486">
        <v>139</v>
      </c>
      <c r="B3486" s="5">
        <v>44077</v>
      </c>
      <c r="C3486" s="15" t="str">
        <f>VLOOKUP(A3486,Inventory!$A$4:$K$1139,2)</f>
        <v>Guatemala Huehuetenango El Injertal 2017</v>
      </c>
      <c r="E3486" s="11"/>
      <c r="F3486" s="34" t="s">
        <v>279</v>
      </c>
      <c r="G3486" s="2" t="s">
        <v>286</v>
      </c>
      <c r="L3486" s="17"/>
      <c r="M3486" s="17"/>
      <c r="P3486" s="8"/>
    </row>
    <row r="3487" spans="1:16" x14ac:dyDescent="0.35">
      <c r="B3487" s="13"/>
      <c r="C3487" s="13"/>
      <c r="D3487" s="11"/>
      <c r="F3487" s="13"/>
      <c r="G3487" s="16"/>
      <c r="I3487" s="1"/>
      <c r="L3487" s="19"/>
      <c r="M3487" s="19"/>
    </row>
    <row r="3488" spans="1:16" x14ac:dyDescent="0.35">
      <c r="B3488" s="20"/>
      <c r="C3488" s="11" t="s">
        <v>240</v>
      </c>
      <c r="D3488" s="11" t="s">
        <v>241</v>
      </c>
      <c r="E3488" s="11" t="s">
        <v>430</v>
      </c>
      <c r="F3488" s="11">
        <v>375</v>
      </c>
      <c r="G3488" s="11">
        <v>384</v>
      </c>
      <c r="H3488" s="11">
        <v>392</v>
      </c>
      <c r="I3488" s="11">
        <v>398</v>
      </c>
      <c r="J3488" s="11"/>
      <c r="K3488" s="11"/>
      <c r="L3488" s="11"/>
    </row>
    <row r="3489" spans="1:16" ht="15.75" customHeight="1" x14ac:dyDescent="0.35">
      <c r="B3489" s="20" t="s">
        <v>242</v>
      </c>
      <c r="C3489" s="30"/>
      <c r="D3489" s="30"/>
      <c r="E3489" s="23" t="s">
        <v>244</v>
      </c>
      <c r="F3489" s="23" t="s">
        <v>245</v>
      </c>
      <c r="G3489" s="23" t="s">
        <v>246</v>
      </c>
      <c r="H3489" s="23" t="s">
        <v>247</v>
      </c>
      <c r="I3489" s="23" t="s">
        <v>248</v>
      </c>
      <c r="O3489" s="4"/>
    </row>
    <row r="3490" spans="1:16" ht="1" customHeight="1" x14ac:dyDescent="0.35">
      <c r="B3490" s="24" t="s">
        <v>249</v>
      </c>
      <c r="C3490" s="25"/>
      <c r="D3490" s="25"/>
      <c r="E3490" s="25"/>
      <c r="F3490" s="25"/>
      <c r="G3490" s="25"/>
      <c r="H3490" s="25"/>
      <c r="I3490" s="25"/>
      <c r="O3490" t="e">
        <f>(O3488-3*O3487)/O3489</f>
        <v>#DIV/0!</v>
      </c>
    </row>
    <row r="3491" spans="1:16" ht="15.75" customHeight="1" x14ac:dyDescent="0.35">
      <c r="B3491" s="20" t="s">
        <v>250</v>
      </c>
      <c r="C3491" s="26">
        <v>0.21527777777777779</v>
      </c>
      <c r="D3491" s="26">
        <v>0.29166666666666669</v>
      </c>
      <c r="E3491" s="26">
        <v>0.37152777777777773</v>
      </c>
      <c r="F3491" s="26">
        <f>E3491+'Lookup Tables'!$N$1</f>
        <v>0.39236111111111105</v>
      </c>
      <c r="G3491" s="26">
        <f>F3491+'Lookup Tables'!$N$1</f>
        <v>0.41319444444444436</v>
      </c>
      <c r="H3491" s="26">
        <f>G3491+'Lookup Tables'!$N$1</f>
        <v>0.43402777777777768</v>
      </c>
      <c r="I3491" s="26">
        <f>H3491+'Lookup Tables'!$S$1</f>
        <v>0.44444444444444436</v>
      </c>
      <c r="N3491">
        <f>MAX(F3488:M3488)-O3491</f>
        <v>30</v>
      </c>
      <c r="O3491" t="str">
        <f>RIGHT(E3488,3)</f>
        <v>368</v>
      </c>
    </row>
    <row r="3492" spans="1:16" ht="15.75" customHeight="1" x14ac:dyDescent="0.35">
      <c r="B3492" s="20" t="s">
        <v>251</v>
      </c>
      <c r="C3492" s="27">
        <v>0.2</v>
      </c>
      <c r="D3492" s="27">
        <v>0.5</v>
      </c>
      <c r="E3492" s="27"/>
      <c r="F3492" s="27"/>
      <c r="G3492" s="27"/>
      <c r="H3492" s="27"/>
      <c r="I3492" s="25"/>
      <c r="N3492" t="str">
        <f xml:space="preserve">  N3491 &amp; " degrees this time"</f>
        <v>30 degrees this time</v>
      </c>
    </row>
    <row r="3493" spans="1:16" ht="15.75" customHeight="1" x14ac:dyDescent="0.35">
      <c r="B3493" s="20" t="s">
        <v>252</v>
      </c>
      <c r="C3493" s="27">
        <v>0.9</v>
      </c>
      <c r="D3493" s="27">
        <v>0.8</v>
      </c>
      <c r="E3493" s="27">
        <v>0.8</v>
      </c>
      <c r="F3493" s="27"/>
      <c r="G3493" s="27">
        <v>0.6</v>
      </c>
      <c r="H3493" s="27">
        <v>0.4</v>
      </c>
      <c r="I3493" s="27" t="s">
        <v>275</v>
      </c>
    </row>
    <row r="3494" spans="1:16" ht="15.75" customHeight="1" x14ac:dyDescent="0.35">
      <c r="B3494" s="20"/>
      <c r="D3494" s="11"/>
      <c r="E3494" s="11"/>
      <c r="F3494" s="11"/>
      <c r="G3494" s="40"/>
      <c r="H3494" s="11"/>
      <c r="I3494" s="11"/>
      <c r="J3494" s="37"/>
    </row>
    <row r="3495" spans="1:16" ht="15.75" customHeight="1" x14ac:dyDescent="0.35">
      <c r="B3495" s="38"/>
      <c r="G3495" s="1" t="s">
        <v>492</v>
      </c>
      <c r="H3495" s="1"/>
      <c r="K3495" s="9" t="s">
        <v>510</v>
      </c>
      <c r="L3495" s="9"/>
      <c r="M3495" s="9"/>
    </row>
    <row r="3496" spans="1:16" ht="15.75" customHeight="1" x14ac:dyDescent="0.35">
      <c r="B3496" s="20"/>
      <c r="G3496" s="1"/>
      <c r="H3496" s="1"/>
      <c r="K3496" s="32"/>
      <c r="L3496" s="9"/>
      <c r="M3496" s="9"/>
    </row>
    <row r="3497" spans="1:16" ht="15.75" customHeight="1" x14ac:dyDescent="0.35">
      <c r="B3497" s="20"/>
      <c r="G3497" s="1"/>
      <c r="H3497" s="1"/>
      <c r="K3497" s="9" t="s">
        <v>300</v>
      </c>
      <c r="L3497" s="9"/>
      <c r="M3497" s="9"/>
    </row>
    <row r="3498" spans="1:16" ht="15.75" customHeight="1" x14ac:dyDescent="0.35">
      <c r="B3498" s="9"/>
      <c r="C3498" s="9"/>
      <c r="D3498" s="9"/>
      <c r="E3498" s="9"/>
      <c r="F3498" s="12"/>
      <c r="G3498" s="12"/>
      <c r="H3498" s="12"/>
      <c r="I3498" s="12"/>
      <c r="J3498" s="12"/>
      <c r="K3498" s="12"/>
      <c r="L3498" s="1"/>
    </row>
    <row r="3499" spans="1:16" ht="15.75" customHeight="1" x14ac:dyDescent="0.35">
      <c r="B3499" s="13"/>
      <c r="C3499" s="13"/>
      <c r="D3499" s="13"/>
      <c r="E3499" s="13"/>
      <c r="F3499" s="33" t="s">
        <v>326</v>
      </c>
      <c r="G3499" s="13"/>
      <c r="H3499" s="14" t="s">
        <v>255</v>
      </c>
      <c r="I3499" s="13"/>
    </row>
    <row r="3500" spans="1:16" x14ac:dyDescent="0.35">
      <c r="B3500" s="13" t="s">
        <v>5</v>
      </c>
      <c r="C3500" s="13" t="s">
        <v>1</v>
      </c>
      <c r="D3500" s="15" t="str">
        <f>VLOOKUP(A3501,Inventory!$A$4:$K$1139,7)</f>
        <v>Leverhead Coffee</v>
      </c>
      <c r="F3500" s="13" t="s">
        <v>235</v>
      </c>
      <c r="G3500" s="16"/>
      <c r="L3500" s="17"/>
      <c r="M3500" s="17"/>
    </row>
    <row r="3501" spans="1:16" x14ac:dyDescent="0.35">
      <c r="A3501">
        <v>137</v>
      </c>
      <c r="B3501" s="5">
        <v>44077</v>
      </c>
      <c r="C3501" s="15" t="str">
        <f>VLOOKUP(A3501,Inventory!$A$4:$K$1139,2)</f>
        <v>Colombia Cauca 2017</v>
      </c>
      <c r="E3501" s="11"/>
      <c r="F3501" s="31" t="s">
        <v>291</v>
      </c>
      <c r="G3501" s="2" t="s">
        <v>286</v>
      </c>
      <c r="L3501" s="17"/>
      <c r="M3501" s="17"/>
      <c r="P3501" s="8"/>
    </row>
    <row r="3502" spans="1:16" x14ac:dyDescent="0.35">
      <c r="D3502" s="11"/>
      <c r="E3502" s="11"/>
      <c r="G3502" s="16"/>
      <c r="L3502" s="19"/>
      <c r="M3502" s="19"/>
    </row>
    <row r="3503" spans="1:16" x14ac:dyDescent="0.35">
      <c r="B3503" s="20"/>
      <c r="C3503" s="11" t="s">
        <v>240</v>
      </c>
      <c r="D3503" s="11" t="s">
        <v>272</v>
      </c>
      <c r="E3503" s="11" t="s">
        <v>319</v>
      </c>
      <c r="F3503" s="11">
        <v>381</v>
      </c>
      <c r="G3503" s="11">
        <v>388</v>
      </c>
      <c r="H3503" s="11">
        <v>395</v>
      </c>
      <c r="I3503" s="11">
        <v>398</v>
      </c>
      <c r="J3503" s="11"/>
      <c r="K3503" s="11"/>
      <c r="L3503" s="11"/>
    </row>
    <row r="3504" spans="1:16" ht="15.75" customHeight="1" x14ac:dyDescent="0.35">
      <c r="B3504" s="20" t="s">
        <v>242</v>
      </c>
      <c r="C3504" s="30"/>
      <c r="D3504" s="30"/>
      <c r="E3504" s="23" t="s">
        <v>244</v>
      </c>
      <c r="F3504" s="23" t="s">
        <v>245</v>
      </c>
      <c r="G3504" s="23" t="s">
        <v>246</v>
      </c>
      <c r="H3504" s="23" t="s">
        <v>247</v>
      </c>
      <c r="I3504" s="23" t="s">
        <v>248</v>
      </c>
      <c r="O3504" s="4"/>
    </row>
    <row r="3505" spans="1:16" ht="1" customHeight="1" x14ac:dyDescent="0.35">
      <c r="B3505" s="24" t="s">
        <v>249</v>
      </c>
      <c r="C3505" s="25"/>
      <c r="D3505" s="25"/>
      <c r="E3505" s="25"/>
      <c r="F3505" s="25"/>
      <c r="G3505" s="25"/>
      <c r="H3505" s="25"/>
      <c r="I3505" s="25"/>
      <c r="O3505" t="e">
        <f>(O3503-3*O3502)/O3504</f>
        <v>#DIV/0!</v>
      </c>
    </row>
    <row r="3506" spans="1:16" ht="15.75" customHeight="1" x14ac:dyDescent="0.35">
      <c r="B3506" s="20" t="s">
        <v>250</v>
      </c>
      <c r="C3506" s="26">
        <v>0.18402777777777779</v>
      </c>
      <c r="D3506" s="26">
        <v>0.2638888888888889</v>
      </c>
      <c r="E3506" s="26">
        <v>0.35069444444444442</v>
      </c>
      <c r="F3506" s="26">
        <f>E3506+'Lookup Tables'!$N$1</f>
        <v>0.37152777777777773</v>
      </c>
      <c r="G3506" s="26">
        <f>F3506+'Lookup Tables'!$N$1</f>
        <v>0.39236111111111105</v>
      </c>
      <c r="H3506" s="26">
        <f>G3506+'Lookup Tables'!$N$1</f>
        <v>0.41319444444444436</v>
      </c>
      <c r="I3506" s="26">
        <f>H3506+'Lookup Tables'!$S$1</f>
        <v>0.42361111111111105</v>
      </c>
      <c r="N3506">
        <f>MAX(F3503:M3503)-O3506</f>
        <v>25</v>
      </c>
      <c r="O3506" t="str">
        <f>RIGHT(E3503,3)</f>
        <v>373</v>
      </c>
    </row>
    <row r="3507" spans="1:16" ht="15.75" customHeight="1" x14ac:dyDescent="0.35">
      <c r="B3507" s="20" t="s">
        <v>251</v>
      </c>
      <c r="C3507" s="27">
        <v>0.2</v>
      </c>
      <c r="D3507" s="27">
        <v>0.5</v>
      </c>
      <c r="E3507" s="27"/>
      <c r="F3507" s="27"/>
      <c r="G3507" s="27"/>
      <c r="H3507" s="27"/>
      <c r="I3507" s="25"/>
      <c r="N3507" t="str">
        <f xml:space="preserve">  N3506 &amp; " degrees this time"</f>
        <v>25 degrees this time</v>
      </c>
    </row>
    <row r="3508" spans="1:16" ht="15.75" customHeight="1" x14ac:dyDescent="0.35">
      <c r="B3508" s="20" t="s">
        <v>252</v>
      </c>
      <c r="C3508" s="27">
        <v>0.9</v>
      </c>
      <c r="D3508" s="27">
        <v>0.8</v>
      </c>
      <c r="E3508" s="27">
        <v>0.7</v>
      </c>
      <c r="F3508" s="27"/>
      <c r="G3508" s="27"/>
      <c r="H3508" s="27"/>
      <c r="I3508" s="27" t="s">
        <v>275</v>
      </c>
    </row>
    <row r="3509" spans="1:16" ht="15.75" customHeight="1" x14ac:dyDescent="0.35">
      <c r="B3509" s="20"/>
      <c r="D3509" s="11"/>
      <c r="E3509" s="11"/>
      <c r="F3509" s="11"/>
      <c r="G3509" s="11"/>
      <c r="H3509" s="35"/>
    </row>
    <row r="3510" spans="1:16" ht="15.75" customHeight="1" x14ac:dyDescent="0.35">
      <c r="B3510" s="20"/>
      <c r="G3510" s="1" t="s">
        <v>331</v>
      </c>
      <c r="K3510" s="9" t="s">
        <v>511</v>
      </c>
      <c r="L3510" s="9"/>
      <c r="M3510" s="9"/>
    </row>
    <row r="3511" spans="1:16" ht="15.75" customHeight="1" x14ac:dyDescent="0.35">
      <c r="B3511" s="30"/>
      <c r="G3511" s="1"/>
      <c r="H3511" s="1"/>
      <c r="K3511" s="9"/>
      <c r="L3511" s="9"/>
      <c r="M3511" s="9"/>
    </row>
    <row r="3512" spans="1:16" ht="15.75" customHeight="1" x14ac:dyDescent="0.35">
      <c r="B3512" s="30"/>
      <c r="G3512" s="1"/>
      <c r="H3512" s="1"/>
      <c r="K3512" s="9" t="s">
        <v>300</v>
      </c>
      <c r="L3512" s="9"/>
      <c r="M3512" s="9"/>
    </row>
    <row r="3513" spans="1:16" ht="15.75" customHeight="1" x14ac:dyDescent="0.35">
      <c r="B3513" s="9"/>
      <c r="C3513" s="9"/>
      <c r="D3513" s="9"/>
      <c r="E3513" s="9"/>
      <c r="F3513" s="12"/>
      <c r="G3513" s="12"/>
      <c r="H3513" s="12"/>
      <c r="I3513" s="12"/>
      <c r="J3513" s="12"/>
      <c r="K3513" s="12"/>
      <c r="L3513" s="1"/>
    </row>
    <row r="3514" spans="1:16" ht="15.75" customHeight="1" x14ac:dyDescent="0.35">
      <c r="B3514" s="13"/>
      <c r="C3514" s="13"/>
      <c r="D3514" s="13"/>
      <c r="E3514" s="13"/>
      <c r="F3514" s="13"/>
      <c r="G3514" s="13"/>
      <c r="I3514" s="14"/>
    </row>
    <row r="3515" spans="1:16" x14ac:dyDescent="0.35">
      <c r="B3515" s="13" t="s">
        <v>5</v>
      </c>
      <c r="C3515" s="13" t="s">
        <v>1</v>
      </c>
      <c r="D3515" s="15" t="str">
        <f>VLOOKUP(A3516,Inventory!$A$4:$K$1139,7)</f>
        <v xml:space="preserve">Sweet Marias                       </v>
      </c>
      <c r="F3515" s="13" t="s">
        <v>235</v>
      </c>
      <c r="G3515" s="16"/>
      <c r="H3515" s="14" t="s">
        <v>236</v>
      </c>
      <c r="L3515" s="17"/>
      <c r="M3515" s="17"/>
    </row>
    <row r="3516" spans="1:16" x14ac:dyDescent="0.35">
      <c r="A3516">
        <v>156</v>
      </c>
      <c r="B3516" s="5">
        <v>44073</v>
      </c>
      <c r="C3516" s="15" t="str">
        <f>VLOOKUP(A3516,Inventory!$A$4:$K$1139,2)</f>
        <v>Rwanda Nyamasheke 2020 SWP Decaf</v>
      </c>
      <c r="F3516" s="18" t="s">
        <v>237</v>
      </c>
      <c r="G3516" s="2" t="s">
        <v>238</v>
      </c>
      <c r="L3516" s="17"/>
      <c r="M3516" s="17"/>
      <c r="P3516" s="8"/>
    </row>
    <row r="3517" spans="1:16" x14ac:dyDescent="0.35">
      <c r="J3517" s="1" t="s">
        <v>16</v>
      </c>
      <c r="L3517" s="19"/>
      <c r="M3517" s="19"/>
    </row>
    <row r="3518" spans="1:16" x14ac:dyDescent="0.35">
      <c r="C3518" s="11" t="s">
        <v>240</v>
      </c>
      <c r="D3518" s="11" t="s">
        <v>241</v>
      </c>
      <c r="E3518" s="11" t="s">
        <v>450</v>
      </c>
      <c r="F3518" s="11">
        <v>382</v>
      </c>
      <c r="G3518" s="11">
        <v>390</v>
      </c>
      <c r="H3518" s="11">
        <v>397</v>
      </c>
      <c r="I3518" s="11">
        <v>404</v>
      </c>
      <c r="J3518" s="11" t="s">
        <v>370</v>
      </c>
      <c r="K3518" s="11"/>
      <c r="L3518" s="11"/>
    </row>
    <row r="3519" spans="1:16" ht="15.75" customHeight="1" x14ac:dyDescent="0.35">
      <c r="B3519" s="20" t="s">
        <v>242</v>
      </c>
      <c r="C3519" s="21"/>
      <c r="D3519" s="22" t="s">
        <v>382</v>
      </c>
      <c r="E3519" s="23" t="s">
        <v>244</v>
      </c>
      <c r="F3519" s="23" t="s">
        <v>245</v>
      </c>
      <c r="G3519" s="23" t="s">
        <v>246</v>
      </c>
      <c r="H3519" s="23" t="s">
        <v>247</v>
      </c>
      <c r="I3519" s="23" t="s">
        <v>259</v>
      </c>
      <c r="J3519" s="23" t="s">
        <v>260</v>
      </c>
      <c r="O3519" s="4"/>
    </row>
    <row r="3520" spans="1:16" ht="1" customHeight="1" x14ac:dyDescent="0.35">
      <c r="B3520" s="24" t="s">
        <v>249</v>
      </c>
      <c r="C3520" s="25">
        <v>320</v>
      </c>
      <c r="D3520" s="25">
        <v>350</v>
      </c>
      <c r="E3520" s="25">
        <v>377</v>
      </c>
      <c r="F3520" s="25">
        <v>384</v>
      </c>
      <c r="G3520" s="25">
        <v>388</v>
      </c>
      <c r="H3520" s="25">
        <v>392</v>
      </c>
      <c r="I3520" s="25">
        <v>395</v>
      </c>
      <c r="J3520" s="25">
        <v>415</v>
      </c>
      <c r="O3520" t="e">
        <f>(O3518-3*O3517)/O3519</f>
        <v>#DIV/0!</v>
      </c>
    </row>
    <row r="3521" spans="1:16" ht="15.75" customHeight="1" x14ac:dyDescent="0.35">
      <c r="B3521" s="20" t="s">
        <v>250</v>
      </c>
      <c r="C3521" s="26">
        <v>0.2638888888888889</v>
      </c>
      <c r="D3521" s="26">
        <v>0.34375</v>
      </c>
      <c r="E3521" s="26">
        <v>0.46527777777777773</v>
      </c>
      <c r="F3521" s="26">
        <f>E3521+'Lookup Tables'!$N$1</f>
        <v>0.48611111111111105</v>
      </c>
      <c r="G3521" s="26">
        <f>F3521+'Lookup Tables'!$N$1</f>
        <v>0.50694444444444442</v>
      </c>
      <c r="H3521" s="26">
        <f>G3521+'Lookup Tables'!$N$1</f>
        <v>0.52777777777777779</v>
      </c>
      <c r="I3521" s="26">
        <f>H3521+'Lookup Tables'!$N$1</f>
        <v>0.54861111111111116</v>
      </c>
      <c r="J3521" s="26">
        <f>I3521+'Lookup Tables'!$M$1</f>
        <v>0.55902777777777779</v>
      </c>
      <c r="N3521">
        <f>MAX(F3518:M3518)-O3521</f>
        <v>29</v>
      </c>
      <c r="O3521" t="str">
        <f>RIGHT(E3518,3)</f>
        <v>375</v>
      </c>
    </row>
    <row r="3522" spans="1:16" ht="15.75" customHeight="1" x14ac:dyDescent="0.35">
      <c r="B3522" s="20" t="s">
        <v>251</v>
      </c>
      <c r="C3522" s="27">
        <v>0.2</v>
      </c>
      <c r="D3522" s="27">
        <v>0.5</v>
      </c>
      <c r="E3522" s="27"/>
      <c r="F3522" s="27"/>
      <c r="G3522" s="27"/>
      <c r="H3522" s="27"/>
      <c r="I3522" s="27"/>
      <c r="J3522" s="27"/>
      <c r="N3522" t="str">
        <f xml:space="preserve">  N3521 &amp; " degrees this time"</f>
        <v>29 degrees this time</v>
      </c>
    </row>
    <row r="3523" spans="1:16" ht="15.75" customHeight="1" x14ac:dyDescent="0.35">
      <c r="B3523" s="20" t="s">
        <v>252</v>
      </c>
      <c r="C3523" s="27">
        <v>0.9</v>
      </c>
      <c r="D3523" s="27">
        <v>0.7</v>
      </c>
      <c r="E3523" s="27">
        <v>0.6</v>
      </c>
      <c r="F3523" s="27"/>
      <c r="G3523" s="27"/>
      <c r="H3523" s="27"/>
      <c r="I3523" s="27"/>
      <c r="J3523" s="27"/>
    </row>
    <row r="3524" spans="1:16" ht="15.75" customHeight="1" x14ac:dyDescent="0.35">
      <c r="B3524" s="20"/>
      <c r="D3524" s="11"/>
      <c r="E3524" s="11"/>
      <c r="F3524" s="28"/>
      <c r="H3524" s="1"/>
      <c r="I3524" s="1"/>
    </row>
    <row r="3525" spans="1:16" ht="15.75" customHeight="1" x14ac:dyDescent="0.35">
      <c r="G3525" s="1" t="s">
        <v>383</v>
      </c>
      <c r="K3525" s="32" t="s">
        <v>415</v>
      </c>
      <c r="L3525" s="9"/>
      <c r="M3525" s="9"/>
    </row>
    <row r="3526" spans="1:16" ht="15.75" customHeight="1" x14ac:dyDescent="0.35">
      <c r="B3526" s="20"/>
      <c r="G3526" s="1"/>
      <c r="H3526" s="1"/>
      <c r="K3526" s="9"/>
      <c r="L3526" s="9"/>
      <c r="M3526" s="9"/>
    </row>
    <row r="3527" spans="1:16" ht="15.75" customHeight="1" x14ac:dyDescent="0.35">
      <c r="B3527" s="20"/>
      <c r="G3527" s="1"/>
      <c r="H3527" s="1"/>
      <c r="K3527" s="9" t="s">
        <v>254</v>
      </c>
      <c r="L3527" s="9"/>
      <c r="M3527" s="9"/>
    </row>
    <row r="3528" spans="1:16" ht="15.75" customHeight="1" x14ac:dyDescent="0.35">
      <c r="B3528" s="9"/>
      <c r="C3528" s="9"/>
      <c r="D3528" s="9"/>
      <c r="E3528" s="9"/>
      <c r="F3528" s="12"/>
      <c r="G3528" s="12"/>
      <c r="H3528" s="12"/>
      <c r="I3528" s="12"/>
      <c r="J3528" s="12"/>
      <c r="K3528" s="12"/>
      <c r="L3528" s="1"/>
    </row>
    <row r="3529" spans="1:16" ht="15.75" customHeight="1" x14ac:dyDescent="0.35">
      <c r="B3529" s="13"/>
      <c r="C3529" s="13"/>
      <c r="D3529" s="15"/>
      <c r="F3529" s="13"/>
      <c r="H3529" s="14" t="s">
        <v>255</v>
      </c>
      <c r="I3529" s="14"/>
    </row>
    <row r="3530" spans="1:16" x14ac:dyDescent="0.35">
      <c r="B3530" s="13" t="s">
        <v>5</v>
      </c>
      <c r="C3530" s="13" t="s">
        <v>1</v>
      </c>
      <c r="D3530" s="15" t="str">
        <f>VLOOKUP(A3531,Inventory!$A$4:$K$1139,7)</f>
        <v xml:space="preserve">Sweet Marias                       </v>
      </c>
      <c r="F3530" s="13" t="s">
        <v>235</v>
      </c>
      <c r="G3530" s="16"/>
      <c r="H3530" s="14" t="s">
        <v>256</v>
      </c>
      <c r="L3530" s="17"/>
      <c r="M3530" s="17"/>
    </row>
    <row r="3531" spans="1:16" x14ac:dyDescent="0.35">
      <c r="A3531">
        <v>156</v>
      </c>
      <c r="B3531" s="5">
        <v>44073</v>
      </c>
      <c r="C3531" s="15" t="str">
        <f>VLOOKUP(A3531,Inventory!$A$4:$K$1139,2)</f>
        <v>Rwanda Nyamasheke 2020 SWP Decaf</v>
      </c>
      <c r="F3531" s="18" t="s">
        <v>257</v>
      </c>
      <c r="G3531" s="2" t="s">
        <v>238</v>
      </c>
      <c r="L3531" s="17"/>
      <c r="M3531" s="17"/>
      <c r="P3531" s="8"/>
    </row>
    <row r="3532" spans="1:16" x14ac:dyDescent="0.35">
      <c r="K3532" s="12" t="s">
        <v>512</v>
      </c>
      <c r="L3532" s="54"/>
      <c r="M3532" s="9"/>
    </row>
    <row r="3533" spans="1:16" x14ac:dyDescent="0.35">
      <c r="C3533" s="11" t="s">
        <v>240</v>
      </c>
      <c r="D3533" s="11" t="s">
        <v>241</v>
      </c>
      <c r="E3533" s="11" t="s">
        <v>462</v>
      </c>
      <c r="F3533" s="11">
        <v>382</v>
      </c>
      <c r="G3533" s="11">
        <v>388</v>
      </c>
      <c r="H3533" s="11">
        <v>393</v>
      </c>
      <c r="I3533" s="11">
        <v>401</v>
      </c>
      <c r="J3533" s="11"/>
      <c r="K3533" s="11"/>
      <c r="L3533" s="11"/>
    </row>
    <row r="3534" spans="1:16" ht="15.75" customHeight="1" x14ac:dyDescent="0.35">
      <c r="B3534" s="20" t="s">
        <v>242</v>
      </c>
      <c r="C3534" s="30"/>
      <c r="D3534" s="30"/>
      <c r="E3534" s="23" t="s">
        <v>244</v>
      </c>
      <c r="F3534" s="23" t="s">
        <v>245</v>
      </c>
      <c r="G3534" s="23" t="s">
        <v>246</v>
      </c>
      <c r="H3534" s="23" t="s">
        <v>247</v>
      </c>
      <c r="I3534" s="23" t="s">
        <v>259</v>
      </c>
      <c r="J3534" s="23" t="s">
        <v>260</v>
      </c>
      <c r="K3534" s="23" t="s">
        <v>261</v>
      </c>
      <c r="O3534" s="4"/>
    </row>
    <row r="3535" spans="1:16" ht="1" customHeight="1" x14ac:dyDescent="0.35">
      <c r="B3535" s="24" t="s">
        <v>249</v>
      </c>
      <c r="C3535" s="25">
        <v>320</v>
      </c>
      <c r="D3535" s="25">
        <v>350</v>
      </c>
      <c r="E3535" s="25">
        <v>377</v>
      </c>
      <c r="F3535" s="25">
        <v>384</v>
      </c>
      <c r="G3535" s="25">
        <v>388</v>
      </c>
      <c r="H3535" s="25">
        <v>392</v>
      </c>
      <c r="I3535" s="25">
        <v>395</v>
      </c>
      <c r="J3535" s="25">
        <v>415</v>
      </c>
      <c r="K3535" s="25">
        <v>415</v>
      </c>
      <c r="O3535" t="e">
        <f>(O3533-3*O3532)/O3534</f>
        <v>#DIV/0!</v>
      </c>
    </row>
    <row r="3536" spans="1:16" ht="15.75" customHeight="1" x14ac:dyDescent="0.35">
      <c r="B3536" s="20" t="s">
        <v>250</v>
      </c>
      <c r="C3536" s="26">
        <v>0.22569444444444445</v>
      </c>
      <c r="D3536" s="26">
        <v>0.30555555555555552</v>
      </c>
      <c r="E3536" s="26">
        <v>0.4375</v>
      </c>
      <c r="F3536" s="26">
        <f>E3536+'Lookup Tables'!$N$1</f>
        <v>0.45833333333333331</v>
      </c>
      <c r="G3536" s="26">
        <f>F3536+'Lookup Tables'!$N$1</f>
        <v>0.47916666666666663</v>
      </c>
      <c r="H3536" s="26">
        <f>G3536+'Lookup Tables'!$N$1</f>
        <v>0.49999999999999994</v>
      </c>
      <c r="I3536" s="26">
        <f>H3536+'Lookup Tables'!$N$1</f>
        <v>0.52083333333333326</v>
      </c>
      <c r="J3536" s="26">
        <f>I3536+'Lookup Tables'!$M$1</f>
        <v>0.53124999999999989</v>
      </c>
      <c r="K3536" s="26">
        <f>J3536+'Lookup Tables'!$M$1</f>
        <v>0.54166666666666652</v>
      </c>
      <c r="N3536">
        <f>MAX(F3533:M3533)-O3536</f>
        <v>24</v>
      </c>
      <c r="O3536" t="str">
        <f>RIGHT(E3533,3)</f>
        <v>377</v>
      </c>
    </row>
    <row r="3537" spans="1:16" ht="15.75" customHeight="1" x14ac:dyDescent="0.35">
      <c r="B3537" s="20" t="s">
        <v>251</v>
      </c>
      <c r="C3537" s="27">
        <v>0.2</v>
      </c>
      <c r="D3537" s="27">
        <v>0.5</v>
      </c>
      <c r="E3537" s="27"/>
      <c r="F3537" s="27"/>
      <c r="G3537" s="27"/>
      <c r="H3537" s="27"/>
      <c r="I3537" s="27"/>
      <c r="J3537" s="27"/>
      <c r="K3537" s="25"/>
      <c r="N3537" t="str">
        <f xml:space="preserve">  N3536 &amp; " degrees this time"</f>
        <v>24 degrees this time</v>
      </c>
    </row>
    <row r="3538" spans="1:16" ht="15.75" customHeight="1" x14ac:dyDescent="0.35">
      <c r="B3538" s="20" t="s">
        <v>252</v>
      </c>
      <c r="C3538" s="27">
        <v>0.9</v>
      </c>
      <c r="D3538" s="27">
        <v>0.7</v>
      </c>
      <c r="E3538" s="27">
        <v>0.6</v>
      </c>
      <c r="F3538" s="27"/>
      <c r="G3538" s="27"/>
      <c r="H3538" s="27"/>
      <c r="I3538" s="27"/>
      <c r="J3538" s="27"/>
      <c r="K3538" s="27"/>
    </row>
    <row r="3539" spans="1:16" ht="15.75" customHeight="1" x14ac:dyDescent="0.35">
      <c r="B3539" s="20"/>
      <c r="D3539" s="11"/>
      <c r="E3539" s="11"/>
      <c r="F3539" s="28"/>
      <c r="H3539" s="1"/>
    </row>
    <row r="3540" spans="1:16" ht="15.75" customHeight="1" x14ac:dyDescent="0.35">
      <c r="B3540" s="1" t="s">
        <v>385</v>
      </c>
      <c r="F3540" t="s">
        <v>263</v>
      </c>
      <c r="G3540" s="1"/>
      <c r="K3540" s="9"/>
      <c r="L3540" s="9"/>
      <c r="M3540" s="9"/>
    </row>
    <row r="3541" spans="1:16" ht="15.75" customHeight="1" x14ac:dyDescent="0.35">
      <c r="B3541" s="20" t="s">
        <v>264</v>
      </c>
      <c r="D3541" s="29"/>
      <c r="F3541" t="s">
        <v>265</v>
      </c>
      <c r="G3541" s="1"/>
      <c r="H3541" s="1"/>
      <c r="K3541" s="9" t="s">
        <v>386</v>
      </c>
      <c r="L3541" s="9"/>
      <c r="M3541" s="9"/>
    </row>
    <row r="3542" spans="1:16" ht="15.75" customHeight="1" x14ac:dyDescent="0.35">
      <c r="B3542" s="20" t="s">
        <v>267</v>
      </c>
      <c r="F3542" t="s">
        <v>268</v>
      </c>
      <c r="G3542" s="1"/>
      <c r="H3542" s="1"/>
      <c r="K3542" s="9" t="s">
        <v>254</v>
      </c>
      <c r="L3542" s="9"/>
      <c r="M3542" s="9"/>
    </row>
    <row r="3543" spans="1:16" ht="15.75" customHeight="1" x14ac:dyDescent="0.35">
      <c r="B3543" s="9"/>
      <c r="C3543" s="9"/>
      <c r="D3543" s="9"/>
      <c r="E3543" s="9"/>
      <c r="F3543" s="12"/>
      <c r="G3543" s="12"/>
      <c r="H3543" s="12"/>
      <c r="I3543" s="12"/>
      <c r="J3543" s="12"/>
      <c r="K3543" s="12"/>
      <c r="L3543" s="1"/>
    </row>
    <row r="3544" spans="1:16" ht="15.75" customHeight="1" x14ac:dyDescent="0.35">
      <c r="B3544" s="13"/>
      <c r="C3544" s="13"/>
      <c r="D3544" s="13"/>
      <c r="E3544" s="13"/>
      <c r="F3544" s="13"/>
      <c r="G3544" s="13"/>
      <c r="H3544" s="13"/>
      <c r="I3544" s="13"/>
    </row>
    <row r="3545" spans="1:16" x14ac:dyDescent="0.35">
      <c r="B3545" s="13" t="s">
        <v>5</v>
      </c>
      <c r="C3545" s="13" t="s">
        <v>1</v>
      </c>
      <c r="D3545" s="15" t="str">
        <f>VLOOKUP(A3546,Inventory!$A$4:$K$1139,7)</f>
        <v>Coffee Bean corral</v>
      </c>
      <c r="F3545" s="13" t="s">
        <v>235</v>
      </c>
      <c r="G3545" s="16"/>
      <c r="L3545" s="17"/>
      <c r="M3545" s="17"/>
    </row>
    <row r="3546" spans="1:16" x14ac:dyDescent="0.35">
      <c r="A3546">
        <v>152</v>
      </c>
      <c r="B3546" s="5">
        <v>44059</v>
      </c>
      <c r="C3546" s="15" t="str">
        <f>VLOOKUP(A3546,Inventory!$A$4:$K$1139,2)</f>
        <v>Nicaragua Organic Jinotega Finca La Isabelia 2018</v>
      </c>
      <c r="E3546" s="11"/>
      <c r="F3546" s="34" t="s">
        <v>279</v>
      </c>
      <c r="G3546" s="2" t="s">
        <v>286</v>
      </c>
      <c r="L3546" s="17"/>
      <c r="M3546" s="17"/>
      <c r="P3546" s="8"/>
    </row>
    <row r="3547" spans="1:16" x14ac:dyDescent="0.35">
      <c r="D3547" s="11"/>
      <c r="E3547" s="11"/>
      <c r="G3547" s="16"/>
      <c r="L3547" s="19"/>
      <c r="M3547" s="19"/>
    </row>
    <row r="3548" spans="1:16" x14ac:dyDescent="0.35">
      <c r="B3548" s="20"/>
      <c r="C3548" s="11" t="s">
        <v>240</v>
      </c>
      <c r="D3548" s="11" t="s">
        <v>395</v>
      </c>
      <c r="E3548" s="11" t="s">
        <v>513</v>
      </c>
      <c r="F3548" s="11">
        <v>378</v>
      </c>
      <c r="G3548" s="11">
        <v>385</v>
      </c>
      <c r="H3548" s="11">
        <v>393</v>
      </c>
      <c r="I3548" s="11">
        <v>396</v>
      </c>
      <c r="J3548" s="11" t="s">
        <v>356</v>
      </c>
      <c r="K3548" s="11"/>
      <c r="L3548" s="28"/>
    </row>
    <row r="3549" spans="1:16" ht="15.75" customHeight="1" x14ac:dyDescent="0.35">
      <c r="B3549" s="20" t="s">
        <v>242</v>
      </c>
      <c r="C3549" s="21"/>
      <c r="D3549" s="22" t="s">
        <v>442</v>
      </c>
      <c r="E3549" s="23" t="s">
        <v>244</v>
      </c>
      <c r="F3549" s="23" t="s">
        <v>245</v>
      </c>
      <c r="G3549" s="23" t="s">
        <v>246</v>
      </c>
      <c r="H3549" s="23" t="s">
        <v>247</v>
      </c>
      <c r="I3549" s="23" t="s">
        <v>248</v>
      </c>
      <c r="J3549" s="23" t="s">
        <v>259</v>
      </c>
      <c r="O3549" s="4"/>
    </row>
    <row r="3550" spans="1:16" ht="1" customHeight="1" x14ac:dyDescent="0.35">
      <c r="B3550" s="24" t="s">
        <v>249</v>
      </c>
      <c r="C3550" s="25"/>
      <c r="D3550" s="25"/>
      <c r="E3550" s="25"/>
      <c r="F3550" s="25"/>
      <c r="G3550" s="25"/>
      <c r="H3550" s="25"/>
      <c r="I3550" s="25"/>
      <c r="J3550" s="25"/>
      <c r="O3550" t="e">
        <f>(O3548-3*O3547)/O3549</f>
        <v>#DIV/0!</v>
      </c>
    </row>
    <row r="3551" spans="1:16" ht="15.75" customHeight="1" x14ac:dyDescent="0.35">
      <c r="B3551" s="20" t="s">
        <v>250</v>
      </c>
      <c r="C3551" s="26">
        <v>0.21180555555555555</v>
      </c>
      <c r="D3551" s="26">
        <v>0.28125</v>
      </c>
      <c r="E3551" s="26">
        <v>0.38541666666666669</v>
      </c>
      <c r="F3551" s="26">
        <f>E3551+'Lookup Tables'!$N$1</f>
        <v>0.40625</v>
      </c>
      <c r="G3551" s="26">
        <f>F3551+'Lookup Tables'!$N$1</f>
        <v>0.42708333333333331</v>
      </c>
      <c r="H3551" s="26">
        <f>G3551+'Lookup Tables'!$S$1</f>
        <v>0.4375</v>
      </c>
      <c r="I3551" s="26">
        <f>H3551+'Lookup Tables'!$S$1</f>
        <v>0.44791666666666669</v>
      </c>
      <c r="J3551" s="26">
        <f>I3551+'Lookup Tables'!$N$1</f>
        <v>0.46875</v>
      </c>
      <c r="K3551" s="11"/>
      <c r="N3551">
        <f>MAX(F3548:M3548)-O3551</f>
        <v>25</v>
      </c>
      <c r="O3551" t="str">
        <f>RIGHT(E3548,3)</f>
        <v>371</v>
      </c>
    </row>
    <row r="3552" spans="1:16" ht="15.75" customHeight="1" x14ac:dyDescent="0.35">
      <c r="B3552" s="20" t="s">
        <v>251</v>
      </c>
      <c r="C3552" s="27">
        <v>0.2</v>
      </c>
      <c r="D3552" s="27">
        <v>0.5</v>
      </c>
      <c r="E3552" s="27"/>
      <c r="F3552" s="27"/>
      <c r="G3552" s="27" t="s">
        <v>274</v>
      </c>
      <c r="H3552" s="27"/>
      <c r="I3552" s="25"/>
      <c r="J3552" s="27"/>
      <c r="N3552" t="str">
        <f xml:space="preserve">  N3551 &amp; " degrees this time"</f>
        <v>25 degrees this time</v>
      </c>
    </row>
    <row r="3553" spans="1:16" ht="15.75" customHeight="1" x14ac:dyDescent="0.35">
      <c r="B3553" s="20" t="s">
        <v>252</v>
      </c>
      <c r="C3553" s="27">
        <v>0.9</v>
      </c>
      <c r="D3553" s="27">
        <v>0.7</v>
      </c>
      <c r="E3553" s="27">
        <v>0.6</v>
      </c>
      <c r="F3553" s="27"/>
      <c r="G3553" s="27"/>
      <c r="H3553" s="27"/>
      <c r="I3553" s="27"/>
      <c r="J3553" s="27" t="s">
        <v>275</v>
      </c>
    </row>
    <row r="3554" spans="1:16" ht="15.75" customHeight="1" x14ac:dyDescent="0.35">
      <c r="B3554" s="20"/>
      <c r="D3554" s="11"/>
      <c r="E3554" s="11"/>
      <c r="F3554" s="11"/>
      <c r="H3554" s="55"/>
    </row>
    <row r="3555" spans="1:16" ht="15.75" customHeight="1" x14ac:dyDescent="0.35">
      <c r="B3555" s="20"/>
      <c r="G3555" s="1" t="s">
        <v>496</v>
      </c>
      <c r="K3555" s="32" t="s">
        <v>446</v>
      </c>
      <c r="L3555" s="9"/>
      <c r="M3555" s="9"/>
    </row>
    <row r="3556" spans="1:16" ht="15.75" customHeight="1" x14ac:dyDescent="0.35">
      <c r="B3556" s="30"/>
      <c r="G3556" s="1"/>
      <c r="H3556" s="1"/>
      <c r="K3556" s="32"/>
      <c r="L3556" s="9"/>
      <c r="M3556" s="9"/>
    </row>
    <row r="3557" spans="1:16" ht="15.75" customHeight="1" x14ac:dyDescent="0.35">
      <c r="B3557" s="30"/>
      <c r="G3557" s="1"/>
      <c r="H3557" s="1"/>
      <c r="K3557" s="32" t="s">
        <v>254</v>
      </c>
      <c r="L3557" s="9"/>
      <c r="M3557" s="9"/>
    </row>
    <row r="3558" spans="1:16" ht="15.75" customHeight="1" x14ac:dyDescent="0.35">
      <c r="B3558" s="9"/>
      <c r="C3558" s="9"/>
      <c r="D3558" s="9"/>
      <c r="E3558" s="9"/>
      <c r="F3558" s="12"/>
      <c r="G3558" s="12"/>
      <c r="H3558" s="12"/>
      <c r="I3558" s="12"/>
      <c r="J3558" s="12"/>
      <c r="K3558" s="12"/>
      <c r="L3558" s="1"/>
    </row>
    <row r="3559" spans="1:16" ht="15.75" customHeight="1" x14ac:dyDescent="0.35">
      <c r="B3559" s="13"/>
      <c r="C3559" s="13"/>
      <c r="D3559" s="13"/>
      <c r="E3559" s="13"/>
      <c r="F3559" s="13"/>
      <c r="G3559" s="13"/>
      <c r="H3559" s="14" t="s">
        <v>255</v>
      </c>
      <c r="I3559" s="13"/>
    </row>
    <row r="3560" spans="1:16" x14ac:dyDescent="0.35">
      <c r="B3560" s="13" t="s">
        <v>5</v>
      </c>
      <c r="C3560" s="13" t="s">
        <v>1</v>
      </c>
      <c r="D3560" s="15" t="str">
        <f>VLOOKUP(A3561,Inventory!$A$4:$K$1139,7)</f>
        <v xml:space="preserve">Klatch                             </v>
      </c>
      <c r="F3560" s="13" t="s">
        <v>235</v>
      </c>
      <c r="G3560" s="16"/>
      <c r="L3560" s="17"/>
      <c r="M3560" s="17"/>
    </row>
    <row r="3561" spans="1:16" x14ac:dyDescent="0.35">
      <c r="A3561">
        <v>154</v>
      </c>
      <c r="B3561" s="5">
        <v>44059</v>
      </c>
      <c r="C3561" s="15" t="str">
        <f>VLOOKUP(A3561,Inventory!$A$4:$K$1139,2)</f>
        <v>Panama Elida Natural 2019</v>
      </c>
      <c r="F3561" s="31" t="s">
        <v>291</v>
      </c>
      <c r="G3561" s="2" t="s">
        <v>270</v>
      </c>
      <c r="L3561" s="17"/>
      <c r="M3561" s="17"/>
      <c r="P3561" s="8"/>
    </row>
    <row r="3562" spans="1:16" x14ac:dyDescent="0.35">
      <c r="F3562" s="13"/>
      <c r="G3562" s="16"/>
      <c r="L3562" s="19"/>
      <c r="M3562" s="19"/>
    </row>
    <row r="3563" spans="1:16" x14ac:dyDescent="0.35">
      <c r="B3563" s="20"/>
      <c r="C3563" s="11" t="s">
        <v>240</v>
      </c>
      <c r="D3563" s="11" t="s">
        <v>272</v>
      </c>
      <c r="E3563" s="11" t="s">
        <v>440</v>
      </c>
      <c r="F3563" s="11">
        <v>380</v>
      </c>
      <c r="G3563" s="11">
        <v>385</v>
      </c>
      <c r="H3563" s="11">
        <v>388</v>
      </c>
      <c r="I3563" s="11"/>
      <c r="J3563" s="11"/>
      <c r="K3563" s="11"/>
      <c r="L3563" s="28"/>
    </row>
    <row r="3564" spans="1:16" ht="15.75" customHeight="1" x14ac:dyDescent="0.35">
      <c r="B3564" s="20" t="s">
        <v>242</v>
      </c>
      <c r="C3564" s="30"/>
      <c r="D3564" s="30"/>
      <c r="E3564" s="23" t="s">
        <v>244</v>
      </c>
      <c r="F3564" s="23" t="s">
        <v>245</v>
      </c>
      <c r="G3564" s="23" t="s">
        <v>246</v>
      </c>
      <c r="H3564" s="23" t="s">
        <v>273</v>
      </c>
      <c r="O3564" s="4"/>
    </row>
    <row r="3565" spans="1:16" ht="1" customHeight="1" x14ac:dyDescent="0.35">
      <c r="B3565" s="24" t="s">
        <v>249</v>
      </c>
      <c r="C3565" s="25"/>
      <c r="D3565" s="25"/>
      <c r="E3565" s="25"/>
      <c r="F3565" s="25"/>
      <c r="G3565" s="25"/>
      <c r="H3565" s="25"/>
      <c r="O3565" t="e">
        <f>(O3563-3*O3562)/O3564</f>
        <v>#DIV/0!</v>
      </c>
    </row>
    <row r="3566" spans="1:16" ht="15.75" customHeight="1" x14ac:dyDescent="0.35">
      <c r="B3566" s="20" t="s">
        <v>250</v>
      </c>
      <c r="C3566" s="26">
        <v>0.1875</v>
      </c>
      <c r="D3566" s="26">
        <v>0.27083333333333331</v>
      </c>
      <c r="E3566" s="26">
        <v>0.3611111111111111</v>
      </c>
      <c r="F3566" s="26">
        <f>E3566+'Lookup Tables'!$N$1</f>
        <v>0.38194444444444442</v>
      </c>
      <c r="G3566" s="26">
        <f>F3566+'Lookup Tables'!$N$1</f>
        <v>0.40277777777777773</v>
      </c>
      <c r="H3566" s="26">
        <f>G3566+'Lookup Tables'!$S$1</f>
        <v>0.41319444444444442</v>
      </c>
      <c r="N3566">
        <f>MAX(F3563:M3563)-O3566</f>
        <v>16</v>
      </c>
      <c r="O3566" t="str">
        <f>RIGHT(E3563,3)</f>
        <v>372</v>
      </c>
    </row>
    <row r="3567" spans="1:16" ht="15.75" customHeight="1" x14ac:dyDescent="0.35">
      <c r="B3567" s="20" t="s">
        <v>251</v>
      </c>
      <c r="C3567" s="27">
        <v>0.2</v>
      </c>
      <c r="D3567" s="27">
        <v>0.5</v>
      </c>
      <c r="E3567" s="27">
        <v>0.5</v>
      </c>
      <c r="F3567" s="27" t="s">
        <v>274</v>
      </c>
      <c r="G3567" s="27"/>
      <c r="H3567" s="25"/>
      <c r="N3567" t="str">
        <f xml:space="preserve">  N3566 &amp; " degrees this time"</f>
        <v>16 degrees this time</v>
      </c>
    </row>
    <row r="3568" spans="1:16" ht="15.75" customHeight="1" x14ac:dyDescent="0.35">
      <c r="B3568" s="20" t="s">
        <v>252</v>
      </c>
      <c r="C3568" s="27">
        <v>0.9</v>
      </c>
      <c r="D3568" s="27">
        <v>0.7</v>
      </c>
      <c r="E3568" s="27">
        <v>0.6</v>
      </c>
      <c r="F3568" s="27" t="s">
        <v>274</v>
      </c>
      <c r="G3568" s="27"/>
      <c r="H3568" s="27" t="s">
        <v>275</v>
      </c>
    </row>
    <row r="3569" spans="1:16" ht="15.75" customHeight="1" x14ac:dyDescent="0.35">
      <c r="B3569" s="20"/>
      <c r="D3569" s="11"/>
      <c r="E3569" s="11"/>
      <c r="F3569" s="11"/>
    </row>
    <row r="3570" spans="1:16" ht="15.75" customHeight="1" x14ac:dyDescent="0.35">
      <c r="B3570" s="20"/>
      <c r="C3570" s="30"/>
      <c r="D3570" s="11"/>
      <c r="E3570" s="11"/>
      <c r="F3570" s="11"/>
      <c r="G3570" s="1" t="s">
        <v>276</v>
      </c>
      <c r="K3570" s="9" t="s">
        <v>498</v>
      </c>
      <c r="L3570" s="9"/>
      <c r="M3570" s="9"/>
    </row>
    <row r="3571" spans="1:16" ht="15.75" customHeight="1" x14ac:dyDescent="0.35">
      <c r="B3571" s="20"/>
      <c r="G3571" s="1"/>
      <c r="H3571" s="1"/>
      <c r="K3571" s="9"/>
      <c r="L3571" s="9"/>
      <c r="M3571" s="9"/>
    </row>
    <row r="3572" spans="1:16" ht="15.75" customHeight="1" x14ac:dyDescent="0.35">
      <c r="B3572" s="20"/>
      <c r="G3572" s="1"/>
      <c r="H3572" s="1"/>
      <c r="K3572" s="32" t="s">
        <v>277</v>
      </c>
      <c r="L3572" s="9"/>
      <c r="M3572" s="9"/>
    </row>
    <row r="3573" spans="1:16" ht="15.75" customHeight="1" x14ac:dyDescent="0.35">
      <c r="B3573" s="9"/>
      <c r="C3573" s="9"/>
      <c r="D3573" s="9"/>
      <c r="E3573" s="9"/>
      <c r="F3573" s="12"/>
      <c r="G3573" s="12"/>
      <c r="H3573" s="12"/>
      <c r="I3573" s="12"/>
      <c r="J3573" s="12"/>
      <c r="K3573" s="12"/>
      <c r="L3573" s="1"/>
    </row>
    <row r="3574" spans="1:16" ht="15.75" customHeight="1" x14ac:dyDescent="0.35">
      <c r="B3574" s="13"/>
      <c r="C3574" s="13"/>
      <c r="D3574" s="15"/>
      <c r="G3574" s="16"/>
      <c r="H3574" s="14" t="s">
        <v>255</v>
      </c>
    </row>
    <row r="3575" spans="1:16" x14ac:dyDescent="0.35">
      <c r="B3575" s="13" t="s">
        <v>5</v>
      </c>
      <c r="C3575" s="13" t="s">
        <v>1</v>
      </c>
      <c r="D3575" s="15" t="str">
        <f>VLOOKUP(A3576,Inventory!$A$4:$K$1139,7)</f>
        <v>Leverhead Coffee</v>
      </c>
      <c r="F3575" s="13" t="s">
        <v>235</v>
      </c>
      <c r="G3575" s="16"/>
      <c r="L3575" s="17"/>
      <c r="M3575" s="17"/>
    </row>
    <row r="3576" spans="1:16" x14ac:dyDescent="0.35">
      <c r="A3576">
        <v>144</v>
      </c>
      <c r="B3576" s="5">
        <v>44059</v>
      </c>
      <c r="C3576" s="15" t="str">
        <f>VLOOKUP(A3576,Inventory!$A$4:$K$1139,2)</f>
        <v>Rwanda Abakundakawa 2018</v>
      </c>
      <c r="F3576" s="31" t="s">
        <v>291</v>
      </c>
      <c r="G3576" s="2" t="s">
        <v>270</v>
      </c>
      <c r="L3576" s="17"/>
      <c r="M3576" s="17"/>
      <c r="P3576" s="8"/>
    </row>
    <row r="3577" spans="1:16" x14ac:dyDescent="0.35">
      <c r="L3577" s="19"/>
      <c r="M3577" s="19"/>
    </row>
    <row r="3578" spans="1:16" x14ac:dyDescent="0.35">
      <c r="B3578" s="20"/>
      <c r="C3578" s="11" t="s">
        <v>240</v>
      </c>
      <c r="D3578" s="11" t="s">
        <v>272</v>
      </c>
      <c r="E3578" s="11" t="s">
        <v>450</v>
      </c>
      <c r="F3578" s="11">
        <v>381</v>
      </c>
      <c r="G3578" s="11">
        <v>386</v>
      </c>
      <c r="H3578" s="11">
        <v>393</v>
      </c>
      <c r="I3578" s="11">
        <v>402</v>
      </c>
      <c r="J3578" s="11"/>
      <c r="K3578" s="11"/>
      <c r="L3578" s="28"/>
    </row>
    <row r="3579" spans="1:16" ht="15.75" customHeight="1" x14ac:dyDescent="0.35">
      <c r="A3579" t="s">
        <v>16</v>
      </c>
      <c r="B3579" s="20" t="s">
        <v>242</v>
      </c>
      <c r="C3579" s="30"/>
      <c r="D3579" s="30"/>
      <c r="E3579" s="23" t="s">
        <v>244</v>
      </c>
      <c r="F3579" s="23" t="s">
        <v>245</v>
      </c>
      <c r="G3579" s="23" t="s">
        <v>246</v>
      </c>
      <c r="H3579" s="23" t="s">
        <v>247</v>
      </c>
      <c r="I3579" s="23" t="s">
        <v>259</v>
      </c>
      <c r="J3579" s="23" t="s">
        <v>260</v>
      </c>
      <c r="O3579" s="4"/>
    </row>
    <row r="3580" spans="1:16" ht="1" customHeight="1" x14ac:dyDescent="0.35">
      <c r="B3580" s="24" t="s">
        <v>249</v>
      </c>
      <c r="C3580" s="25"/>
      <c r="D3580" s="25"/>
      <c r="E3580" s="25">
        <v>388</v>
      </c>
      <c r="F3580" s="25">
        <v>393</v>
      </c>
      <c r="G3580" s="25">
        <v>397</v>
      </c>
      <c r="H3580" s="25">
        <v>401</v>
      </c>
      <c r="I3580" s="25"/>
      <c r="K3580" t="s">
        <v>280</v>
      </c>
      <c r="L3580" t="s">
        <v>280</v>
      </c>
      <c r="O3580" t="e">
        <f>(O3578-3*O3577)/O3579</f>
        <v>#DIV/0!</v>
      </c>
    </row>
    <row r="3581" spans="1:16" ht="15.75" customHeight="1" x14ac:dyDescent="0.35">
      <c r="B3581" s="20" t="s">
        <v>250</v>
      </c>
      <c r="C3581" s="26">
        <v>0.20138888888888887</v>
      </c>
      <c r="D3581" s="26">
        <v>0.28125</v>
      </c>
      <c r="E3581" s="26">
        <v>0.37847222222222227</v>
      </c>
      <c r="F3581" s="26">
        <f>E3581+'Lookup Tables'!$N$1</f>
        <v>0.39930555555555558</v>
      </c>
      <c r="G3581" s="26">
        <f>F3581+'Lookup Tables'!$N$1</f>
        <v>0.4201388888888889</v>
      </c>
      <c r="H3581" s="26">
        <f>G3581+'Lookup Tables'!$N$1</f>
        <v>0.44097222222222221</v>
      </c>
      <c r="I3581" s="26">
        <f>H3581+'Lookup Tables'!$N$1</f>
        <v>0.46180555555555552</v>
      </c>
      <c r="J3581" s="26">
        <f>I3581+'Lookup Tables'!$M$1</f>
        <v>0.47222222222222221</v>
      </c>
      <c r="N3581">
        <f>MAX(F3578:M3578)-O3581</f>
        <v>27</v>
      </c>
      <c r="O3581" t="str">
        <f>RIGHT(E3578,3)</f>
        <v>375</v>
      </c>
    </row>
    <row r="3582" spans="1:16" ht="15.75" customHeight="1" x14ac:dyDescent="0.35">
      <c r="B3582" s="20" t="s">
        <v>251</v>
      </c>
      <c r="C3582" s="27">
        <v>0.2</v>
      </c>
      <c r="D3582" s="27">
        <v>0.5</v>
      </c>
      <c r="E3582" s="27"/>
      <c r="F3582" s="27"/>
      <c r="G3582" s="27" t="s">
        <v>274</v>
      </c>
      <c r="H3582" s="27"/>
      <c r="I3582" s="27"/>
      <c r="J3582" s="27"/>
      <c r="N3582" t="str">
        <f xml:space="preserve">  N3581 &amp; " degrees this time"</f>
        <v>27 degrees this time</v>
      </c>
    </row>
    <row r="3583" spans="1:16" ht="15.75" customHeight="1" x14ac:dyDescent="0.35">
      <c r="B3583" s="20" t="s">
        <v>252</v>
      </c>
      <c r="C3583" s="27">
        <v>0.9</v>
      </c>
      <c r="D3583" s="27">
        <v>0.8</v>
      </c>
      <c r="E3583" s="27">
        <v>0.5</v>
      </c>
      <c r="F3583" s="27">
        <v>0.3</v>
      </c>
      <c r="G3583" s="27" t="s">
        <v>274</v>
      </c>
      <c r="H3583" s="27"/>
      <c r="I3583" s="27" t="s">
        <v>275</v>
      </c>
      <c r="J3583" s="27" t="s">
        <v>275</v>
      </c>
    </row>
    <row r="3584" spans="1:16" ht="15.75" customHeight="1" x14ac:dyDescent="0.35">
      <c r="B3584" s="20"/>
      <c r="C3584" s="30"/>
      <c r="D3584" s="11"/>
      <c r="E3584" s="11"/>
      <c r="F3584" s="11"/>
      <c r="H3584" s="2"/>
      <c r="J3584" s="35"/>
      <c r="K3584" s="35"/>
    </row>
    <row r="3585" spans="1:16" ht="15.75" customHeight="1" x14ac:dyDescent="0.35">
      <c r="G3585" s="1" t="s">
        <v>418</v>
      </c>
      <c r="K3585" s="32" t="s">
        <v>446</v>
      </c>
      <c r="L3585" s="9"/>
      <c r="M3585" s="9"/>
    </row>
    <row r="3586" spans="1:16" ht="15.75" customHeight="1" x14ac:dyDescent="0.35">
      <c r="B3586" s="20"/>
      <c r="G3586" s="1"/>
      <c r="H3586" s="1"/>
      <c r="K3586" s="9"/>
      <c r="L3586" s="9"/>
      <c r="M3586" s="9"/>
    </row>
    <row r="3587" spans="1:16" ht="15.75" customHeight="1" x14ac:dyDescent="0.35">
      <c r="B3587" s="20"/>
      <c r="G3587" s="1"/>
      <c r="H3587" s="1"/>
      <c r="K3587" s="32" t="s">
        <v>254</v>
      </c>
      <c r="L3587" s="9"/>
      <c r="M3587" s="9"/>
    </row>
    <row r="3588" spans="1:16" ht="15.75" customHeight="1" x14ac:dyDescent="0.35">
      <c r="B3588" s="9"/>
      <c r="C3588" s="9"/>
      <c r="D3588" s="9"/>
      <c r="E3588" s="9"/>
      <c r="F3588" s="12"/>
      <c r="G3588" s="12"/>
      <c r="H3588" s="12"/>
      <c r="I3588" s="12"/>
      <c r="J3588" s="12"/>
      <c r="K3588" s="12"/>
      <c r="L3588" s="1"/>
    </row>
    <row r="3589" spans="1:16" ht="15.75" customHeight="1" x14ac:dyDescent="0.35">
      <c r="B3589" s="13"/>
      <c r="C3589" s="13"/>
      <c r="D3589" s="15"/>
      <c r="G3589" s="16"/>
      <c r="I3589" s="14"/>
    </row>
    <row r="3590" spans="1:16" x14ac:dyDescent="0.35">
      <c r="B3590" s="13" t="s">
        <v>5</v>
      </c>
      <c r="C3590" s="13" t="s">
        <v>1</v>
      </c>
      <c r="D3590" s="15" t="str">
        <f>VLOOKUP(A3591,Inventory!$A$4:$K$1139,7)</f>
        <v>Coffee Bean corral</v>
      </c>
      <c r="F3590" s="13" t="s">
        <v>235</v>
      </c>
      <c r="G3590" s="16"/>
      <c r="L3590" s="17"/>
      <c r="M3590" s="17"/>
    </row>
    <row r="3591" spans="1:16" x14ac:dyDescent="0.35">
      <c r="A3591">
        <v>151</v>
      </c>
      <c r="B3591" s="5">
        <v>44059</v>
      </c>
      <c r="C3591" s="15" t="str">
        <f>VLOOKUP(A3591,Inventory!$A$4:$K$1139,2)</f>
        <v>Yemen Mocca Ismaili Natural 2018</v>
      </c>
      <c r="F3591" s="34" t="s">
        <v>279</v>
      </c>
      <c r="G3591" s="2" t="s">
        <v>286</v>
      </c>
      <c r="L3591" s="17"/>
      <c r="M3591" s="17"/>
      <c r="P3591" s="8"/>
    </row>
    <row r="3592" spans="1:16" x14ac:dyDescent="0.35">
      <c r="B3592" t="s">
        <v>16</v>
      </c>
      <c r="G3592" s="16"/>
      <c r="L3592" s="19"/>
      <c r="M3592" s="19"/>
    </row>
    <row r="3593" spans="1:16" x14ac:dyDescent="0.35">
      <c r="B3593" s="20"/>
      <c r="C3593" s="11" t="s">
        <v>240</v>
      </c>
      <c r="D3593" s="11" t="s">
        <v>272</v>
      </c>
      <c r="E3593" s="11" t="s">
        <v>450</v>
      </c>
      <c r="F3593" s="11">
        <v>385</v>
      </c>
      <c r="G3593" s="11">
        <v>394</v>
      </c>
      <c r="H3593" s="11" t="s">
        <v>310</v>
      </c>
      <c r="I3593" s="11"/>
      <c r="J3593" s="11"/>
      <c r="K3593" s="11"/>
      <c r="L3593" s="28"/>
    </row>
    <row r="3594" spans="1:16" ht="15.75" customHeight="1" x14ac:dyDescent="0.35">
      <c r="B3594" s="20" t="s">
        <v>242</v>
      </c>
      <c r="C3594" s="21"/>
      <c r="D3594" s="22" t="s">
        <v>294</v>
      </c>
      <c r="E3594" s="23" t="s">
        <v>244</v>
      </c>
      <c r="F3594" s="23" t="s">
        <v>245</v>
      </c>
      <c r="G3594" s="23" t="s">
        <v>246</v>
      </c>
      <c r="H3594" s="23" t="s">
        <v>273</v>
      </c>
      <c r="I3594" s="23" t="s">
        <v>247</v>
      </c>
      <c r="O3594" s="4"/>
    </row>
    <row r="3595" spans="1:16" ht="1" customHeight="1" x14ac:dyDescent="0.35">
      <c r="B3595" s="24" t="s">
        <v>249</v>
      </c>
      <c r="C3595" s="25">
        <v>320</v>
      </c>
      <c r="D3595" s="25">
        <v>350</v>
      </c>
      <c r="E3595" s="25"/>
      <c r="F3595" s="25"/>
      <c r="G3595" s="25"/>
      <c r="H3595" s="23" t="s">
        <v>247</v>
      </c>
      <c r="I3595" s="25"/>
      <c r="O3595" t="e">
        <f>(O3593-3*O3592)/O3594</f>
        <v>#DIV/0!</v>
      </c>
    </row>
    <row r="3596" spans="1:16" ht="15.75" customHeight="1" x14ac:dyDescent="0.35">
      <c r="B3596" s="20" t="s">
        <v>250</v>
      </c>
      <c r="C3596" s="26">
        <v>0.21527777777777779</v>
      </c>
      <c r="D3596" s="26">
        <v>0.30208333333333331</v>
      </c>
      <c r="E3596" s="26">
        <v>0.3888888888888889</v>
      </c>
      <c r="F3596" s="26">
        <f>E3596+'Lookup Tables'!$N$1</f>
        <v>0.40972222222222221</v>
      </c>
      <c r="G3596" s="26">
        <f>F3596+'Lookup Tables'!$N$1</f>
        <v>0.43055555555555552</v>
      </c>
      <c r="H3596" s="26">
        <f>G3596+'Lookup Tables'!$S$1</f>
        <v>0.44097222222222221</v>
      </c>
      <c r="I3596" s="26">
        <f>H3596+'Lookup Tables'!$S$1</f>
        <v>0.4513888888888889</v>
      </c>
      <c r="J3596" s="11"/>
      <c r="K3596" s="11"/>
      <c r="N3596">
        <f>MAX(F3593:M3593)-O3596</f>
        <v>19</v>
      </c>
      <c r="O3596" t="str">
        <f>RIGHT(E3593,3)</f>
        <v>375</v>
      </c>
    </row>
    <row r="3597" spans="1:16" ht="15.75" customHeight="1" x14ac:dyDescent="0.35">
      <c r="B3597" s="20" t="s">
        <v>251</v>
      </c>
      <c r="C3597" s="27">
        <v>0.2</v>
      </c>
      <c r="D3597" s="27">
        <v>0.5</v>
      </c>
      <c r="E3597" s="27"/>
      <c r="F3597" s="27"/>
      <c r="G3597" s="27">
        <v>0.25</v>
      </c>
      <c r="H3597" s="27"/>
      <c r="I3597" s="27"/>
      <c r="N3597" t="str">
        <f xml:space="preserve">  N3596 &amp; " degrees this time"</f>
        <v>19 degrees this time</v>
      </c>
    </row>
    <row r="3598" spans="1:16" ht="15.75" customHeight="1" x14ac:dyDescent="0.35">
      <c r="B3598" s="20" t="s">
        <v>252</v>
      </c>
      <c r="C3598" s="27">
        <v>0.9</v>
      </c>
      <c r="D3598" s="27">
        <v>0.7</v>
      </c>
      <c r="E3598" s="27">
        <v>0.4</v>
      </c>
      <c r="F3598" s="27"/>
      <c r="G3598" s="27"/>
      <c r="H3598" s="27" t="s">
        <v>275</v>
      </c>
      <c r="I3598" s="27" t="s">
        <v>275</v>
      </c>
    </row>
    <row r="3599" spans="1:16" ht="15.75" customHeight="1" x14ac:dyDescent="0.35">
      <c r="B3599" s="20"/>
      <c r="D3599" s="11"/>
      <c r="E3599" s="40"/>
      <c r="F3599" s="11"/>
      <c r="G3599" s="11"/>
      <c r="K3599" s="32" t="s">
        <v>507</v>
      </c>
      <c r="L3599" s="9"/>
      <c r="M3599" s="9"/>
    </row>
    <row r="3600" spans="1:16" ht="15.75" customHeight="1" x14ac:dyDescent="0.35">
      <c r="B3600" s="38"/>
      <c r="D3600" s="15"/>
      <c r="F3600" s="13"/>
      <c r="G3600" s="1" t="s">
        <v>514</v>
      </c>
      <c r="K3600" s="32"/>
      <c r="L3600" s="9"/>
      <c r="M3600" s="9"/>
    </row>
    <row r="3601" spans="1:16" ht="15.75" customHeight="1" x14ac:dyDescent="0.35">
      <c r="B3601" s="20"/>
      <c r="G3601" s="1"/>
      <c r="H3601" s="1"/>
      <c r="K3601" s="9"/>
      <c r="L3601" s="9"/>
      <c r="M3601" s="9"/>
    </row>
    <row r="3602" spans="1:16" ht="15.75" customHeight="1" x14ac:dyDescent="0.35">
      <c r="B3602" s="20"/>
      <c r="G3602" s="1"/>
      <c r="H3602" s="1"/>
      <c r="K3602" s="9" t="s">
        <v>297</v>
      </c>
      <c r="L3602" s="9"/>
      <c r="M3602" s="9"/>
    </row>
    <row r="3603" spans="1:16" ht="15.75" customHeight="1" x14ac:dyDescent="0.35">
      <c r="B3603" s="9"/>
      <c r="C3603" s="9"/>
      <c r="D3603" s="9"/>
      <c r="E3603" s="9"/>
      <c r="F3603" s="12"/>
      <c r="G3603" s="12"/>
      <c r="H3603" s="12"/>
      <c r="I3603" s="12"/>
      <c r="J3603" s="12"/>
      <c r="K3603" s="12"/>
      <c r="L3603" s="1"/>
    </row>
    <row r="3604" spans="1:16" ht="15.75" customHeight="1" x14ac:dyDescent="0.35">
      <c r="B3604" s="13"/>
      <c r="C3604" s="13"/>
      <c r="D3604" s="15"/>
      <c r="H3604" s="14" t="s">
        <v>255</v>
      </c>
    </row>
    <row r="3605" spans="1:16" x14ac:dyDescent="0.35">
      <c r="B3605" s="13" t="s">
        <v>5</v>
      </c>
      <c r="C3605" s="13" t="s">
        <v>1</v>
      </c>
      <c r="D3605" s="15" t="str">
        <f>VLOOKUP(A3606,Inventory!$A$4:$K$1139,7)</f>
        <v xml:space="preserve">GCBC                               </v>
      </c>
      <c r="F3605" s="13" t="s">
        <v>235</v>
      </c>
      <c r="G3605" s="16"/>
      <c r="L3605" s="17"/>
      <c r="M3605" s="17"/>
    </row>
    <row r="3606" spans="1:16" x14ac:dyDescent="0.35">
      <c r="A3606">
        <v>146</v>
      </c>
      <c r="B3606" s="5">
        <v>44047</v>
      </c>
      <c r="C3606" s="15" t="str">
        <f>VLOOKUP(A3606,Inventory!$A$4:$K$1139,2)</f>
        <v>Ethiopia Hambela Guji Oromia Guracho 2018</v>
      </c>
      <c r="F3606" s="31" t="s">
        <v>291</v>
      </c>
      <c r="G3606" s="2" t="s">
        <v>286</v>
      </c>
      <c r="L3606" s="17"/>
      <c r="M3606" s="17"/>
      <c r="P3606" s="8"/>
    </row>
    <row r="3607" spans="1:16" x14ac:dyDescent="0.35">
      <c r="G3607" s="16"/>
      <c r="L3607" s="19"/>
      <c r="M3607" s="36"/>
    </row>
    <row r="3608" spans="1:16" x14ac:dyDescent="0.35">
      <c r="B3608" s="20"/>
      <c r="C3608" s="11" t="s">
        <v>240</v>
      </c>
      <c r="D3608" s="11" t="s">
        <v>272</v>
      </c>
      <c r="E3608" s="11" t="s">
        <v>505</v>
      </c>
      <c r="F3608" s="11">
        <v>388</v>
      </c>
      <c r="G3608" s="11">
        <v>400</v>
      </c>
      <c r="H3608" s="11">
        <v>409</v>
      </c>
      <c r="I3608" s="11">
        <v>411</v>
      </c>
      <c r="J3608" s="11" t="s">
        <v>356</v>
      </c>
      <c r="K3608" s="11"/>
      <c r="L3608" s="28"/>
    </row>
    <row r="3609" spans="1:16" ht="15.75" customHeight="1" x14ac:dyDescent="0.35">
      <c r="B3609" s="20" t="s">
        <v>242</v>
      </c>
      <c r="C3609" s="30"/>
      <c r="D3609" s="30"/>
      <c r="E3609" s="23" t="s">
        <v>244</v>
      </c>
      <c r="F3609" s="23" t="s">
        <v>245</v>
      </c>
      <c r="G3609" s="23" t="s">
        <v>246</v>
      </c>
      <c r="H3609" s="23" t="s">
        <v>247</v>
      </c>
      <c r="I3609" s="23" t="s">
        <v>248</v>
      </c>
      <c r="O3609" s="4"/>
    </row>
    <row r="3610" spans="1:16" ht="1" customHeight="1" x14ac:dyDescent="0.35">
      <c r="B3610" s="24" t="s">
        <v>249</v>
      </c>
      <c r="C3610" s="25"/>
      <c r="D3610" s="25"/>
      <c r="E3610" s="25"/>
      <c r="F3610" s="25"/>
      <c r="G3610" s="25"/>
      <c r="H3610" s="25"/>
      <c r="I3610" s="25"/>
      <c r="O3610" t="e">
        <f>(O3608-3*O3607)/O3609</f>
        <v>#DIV/0!</v>
      </c>
    </row>
    <row r="3611" spans="1:16" ht="15.75" customHeight="1" x14ac:dyDescent="0.35">
      <c r="B3611" s="20" t="s">
        <v>250</v>
      </c>
      <c r="C3611" s="26">
        <v>0.1875</v>
      </c>
      <c r="D3611" s="26">
        <v>0.27083333333333331</v>
      </c>
      <c r="E3611" s="26">
        <v>0.37152777777777773</v>
      </c>
      <c r="F3611" s="26">
        <f>E3611+'Lookup Tables'!$N$1</f>
        <v>0.39236111111111105</v>
      </c>
      <c r="G3611" s="26">
        <f>F3611+'Lookup Tables'!$N$1</f>
        <v>0.41319444444444436</v>
      </c>
      <c r="H3611" s="26">
        <f>G3611+'Lookup Tables'!$N$1</f>
        <v>0.43402777777777768</v>
      </c>
      <c r="I3611" s="26">
        <f>H3611+'Lookup Tables'!$S$1</f>
        <v>0.44444444444444436</v>
      </c>
      <c r="N3611">
        <f>MAX(F3608:M3608)-O3611</f>
        <v>33</v>
      </c>
      <c r="O3611" t="str">
        <f>RIGHT(E3608,3)</f>
        <v>378</v>
      </c>
    </row>
    <row r="3612" spans="1:16" ht="15.75" customHeight="1" x14ac:dyDescent="0.35">
      <c r="B3612" s="20" t="s">
        <v>251</v>
      </c>
      <c r="C3612" s="27">
        <v>0.2</v>
      </c>
      <c r="D3612" s="27">
        <v>0.5</v>
      </c>
      <c r="E3612" s="27"/>
      <c r="F3612" s="27"/>
      <c r="G3612" s="27"/>
      <c r="H3612" s="25"/>
      <c r="I3612" s="25"/>
      <c r="N3612" t="str">
        <f xml:space="preserve">  N3611 &amp; " degrees this time"</f>
        <v>33 degrees this time</v>
      </c>
    </row>
    <row r="3613" spans="1:16" ht="15.75" customHeight="1" x14ac:dyDescent="0.35">
      <c r="B3613" s="20" t="s">
        <v>252</v>
      </c>
      <c r="C3613" s="27">
        <v>0.9</v>
      </c>
      <c r="D3613" s="27">
        <v>0.8</v>
      </c>
      <c r="E3613" s="27"/>
      <c r="F3613" s="27"/>
      <c r="G3613" s="27"/>
      <c r="H3613" s="27" t="s">
        <v>275</v>
      </c>
      <c r="I3613" s="27" t="s">
        <v>275</v>
      </c>
    </row>
    <row r="3614" spans="1:16" ht="15.75" customHeight="1" x14ac:dyDescent="0.35">
      <c r="B3614" s="20"/>
      <c r="C3614" s="30"/>
      <c r="D3614" s="11"/>
      <c r="E3614" s="1"/>
      <c r="F3614" s="11"/>
      <c r="G3614" s="11"/>
      <c r="H3614" s="11"/>
      <c r="J3614" s="37"/>
    </row>
    <row r="3615" spans="1:16" ht="15.75" customHeight="1" x14ac:dyDescent="0.35">
      <c r="B3615" s="38"/>
      <c r="D3615" s="11"/>
      <c r="E3615" s="11"/>
      <c r="F3615" s="11"/>
      <c r="G3615" s="1" t="s">
        <v>483</v>
      </c>
      <c r="K3615" s="9" t="s">
        <v>506</v>
      </c>
      <c r="L3615" s="9"/>
      <c r="M3615" s="9"/>
    </row>
    <row r="3616" spans="1:16" ht="15.75" customHeight="1" x14ac:dyDescent="0.35">
      <c r="B3616" s="20"/>
      <c r="G3616" s="1"/>
      <c r="H3616" s="1"/>
      <c r="K3616" s="9"/>
      <c r="L3616" s="9"/>
      <c r="M3616" s="9"/>
    </row>
    <row r="3617" spans="1:16" ht="15.75" customHeight="1" x14ac:dyDescent="0.35">
      <c r="B3617" s="20"/>
      <c r="G3617" s="1"/>
      <c r="H3617" s="1"/>
      <c r="K3617" s="9" t="s">
        <v>254</v>
      </c>
      <c r="L3617" s="9"/>
      <c r="M3617" s="9"/>
    </row>
    <row r="3618" spans="1:16" ht="15.75" customHeight="1" x14ac:dyDescent="0.35">
      <c r="B3618" s="9"/>
      <c r="C3618" s="9"/>
      <c r="D3618" s="9"/>
      <c r="E3618" s="9"/>
      <c r="F3618" s="12"/>
      <c r="G3618" s="12"/>
      <c r="H3618" s="12"/>
      <c r="I3618" s="12"/>
      <c r="J3618" s="12"/>
      <c r="K3618" s="12"/>
      <c r="L3618" s="1"/>
    </row>
    <row r="3619" spans="1:16" ht="15.75" customHeight="1" x14ac:dyDescent="0.35">
      <c r="B3619" s="13"/>
      <c r="C3619" s="13"/>
      <c r="D3619" s="13"/>
      <c r="E3619" s="13"/>
      <c r="F3619" s="13"/>
      <c r="G3619" s="13"/>
      <c r="H3619" s="14"/>
      <c r="I3619" s="13"/>
    </row>
    <row r="3620" spans="1:16" x14ac:dyDescent="0.35">
      <c r="B3620" s="13" t="s">
        <v>5</v>
      </c>
      <c r="C3620" s="13" t="s">
        <v>1</v>
      </c>
      <c r="D3620" s="15" t="str">
        <f>VLOOKUP(A3621,Inventory!$A$4:$K$1139,7)</f>
        <v xml:space="preserve">GCBC                               </v>
      </c>
      <c r="F3620" s="13" t="s">
        <v>235</v>
      </c>
      <c r="G3620" s="16"/>
      <c r="J3620" s="8"/>
      <c r="K3620" s="17"/>
      <c r="L3620" s="17"/>
      <c r="M3620" s="17"/>
    </row>
    <row r="3621" spans="1:16" x14ac:dyDescent="0.35">
      <c r="A3621">
        <v>148</v>
      </c>
      <c r="B3621" s="5">
        <v>44047</v>
      </c>
      <c r="C3621" s="15" t="str">
        <f>VLOOKUP(A3621,Inventory!$A$4:$K$1139,2)</f>
        <v>Costa Rica - La Pastora Tarrazu 2018</v>
      </c>
      <c r="F3621" s="34" t="s">
        <v>279</v>
      </c>
      <c r="G3621" s="2" t="s">
        <v>270</v>
      </c>
      <c r="K3621" s="17"/>
      <c r="L3621" s="17"/>
      <c r="M3621" s="17"/>
      <c r="P3621" s="8"/>
    </row>
    <row r="3622" spans="1:16" x14ac:dyDescent="0.35">
      <c r="G3622" s="16"/>
      <c r="J3622" s="19"/>
      <c r="K3622" s="19"/>
      <c r="L3622" s="19"/>
      <c r="M3622" s="19"/>
    </row>
    <row r="3623" spans="1:16" x14ac:dyDescent="0.35">
      <c r="B3623" s="20"/>
      <c r="C3623" s="11" t="s">
        <v>240</v>
      </c>
      <c r="D3623" s="11" t="s">
        <v>272</v>
      </c>
      <c r="E3623" s="11" t="s">
        <v>441</v>
      </c>
      <c r="F3623" s="11">
        <v>378</v>
      </c>
      <c r="G3623" s="11">
        <v>386</v>
      </c>
      <c r="H3623" s="11">
        <v>396</v>
      </c>
      <c r="I3623" s="11" t="s">
        <v>356</v>
      </c>
      <c r="J3623" s="11"/>
      <c r="K3623" s="11"/>
      <c r="L3623" s="28"/>
    </row>
    <row r="3624" spans="1:16" ht="15.75" customHeight="1" x14ac:dyDescent="0.35">
      <c r="B3624" s="20" t="s">
        <v>242</v>
      </c>
      <c r="C3624" s="30"/>
      <c r="D3624" s="30"/>
      <c r="E3624" s="23" t="s">
        <v>244</v>
      </c>
      <c r="F3624" s="23" t="s">
        <v>245</v>
      </c>
      <c r="G3624" s="23" t="s">
        <v>246</v>
      </c>
      <c r="H3624" s="23" t="s">
        <v>247</v>
      </c>
      <c r="I3624" s="23" t="s">
        <v>259</v>
      </c>
      <c r="O3624" s="4"/>
    </row>
    <row r="3625" spans="1:16" ht="1" customHeight="1" x14ac:dyDescent="0.35">
      <c r="B3625" s="24" t="s">
        <v>249</v>
      </c>
      <c r="C3625" s="25"/>
      <c r="D3625" s="25"/>
      <c r="E3625" s="25"/>
      <c r="F3625" s="25"/>
      <c r="G3625" s="25"/>
      <c r="H3625" s="25"/>
      <c r="I3625" s="25"/>
      <c r="O3625" t="e">
        <f>(O3623-3*O3622)/O3624</f>
        <v>#DIV/0!</v>
      </c>
    </row>
    <row r="3626" spans="1:16" ht="15.75" customHeight="1" x14ac:dyDescent="0.35">
      <c r="B3626" s="20" t="s">
        <v>250</v>
      </c>
      <c r="C3626" s="26">
        <v>0.21875</v>
      </c>
      <c r="D3626" s="26">
        <v>0.30208333333333331</v>
      </c>
      <c r="E3626" s="26">
        <v>0.375</v>
      </c>
      <c r="F3626" s="26">
        <f>E3626+'Lookup Tables'!$N$1</f>
        <v>0.39583333333333331</v>
      </c>
      <c r="G3626" s="26">
        <f>F3626+'Lookup Tables'!$N$1</f>
        <v>0.41666666666666663</v>
      </c>
      <c r="H3626" s="26">
        <f>G3626+'Lookup Tables'!$N$1</f>
        <v>0.43749999999999994</v>
      </c>
      <c r="I3626" s="26">
        <f>H3626+'Lookup Tables'!$N$1</f>
        <v>0.45833333333333326</v>
      </c>
      <c r="N3626">
        <f>MAX(F3623:M3623)-O3626</f>
        <v>27</v>
      </c>
      <c r="O3626" t="str">
        <f>RIGHT(E3623,3)</f>
        <v>369</v>
      </c>
    </row>
    <row r="3627" spans="1:16" ht="15.75" customHeight="1" x14ac:dyDescent="0.35">
      <c r="B3627" s="20" t="s">
        <v>251</v>
      </c>
      <c r="C3627" s="27">
        <v>0.2</v>
      </c>
      <c r="D3627" s="27">
        <v>0.5</v>
      </c>
      <c r="E3627" s="25"/>
      <c r="F3627" s="27"/>
      <c r="G3627" s="27"/>
      <c r="H3627" s="25" t="s">
        <v>274</v>
      </c>
      <c r="I3627" s="27"/>
      <c r="N3627" t="str">
        <f xml:space="preserve">  N3626 &amp; " degrees this time"</f>
        <v>27 degrees this time</v>
      </c>
    </row>
    <row r="3628" spans="1:16" ht="15.75" customHeight="1" x14ac:dyDescent="0.35">
      <c r="B3628" s="20" t="s">
        <v>252</v>
      </c>
      <c r="C3628" s="27">
        <v>0.9</v>
      </c>
      <c r="D3628" s="27">
        <v>0.8</v>
      </c>
      <c r="E3628" s="27">
        <v>0.6</v>
      </c>
      <c r="F3628" s="27"/>
      <c r="G3628" s="27"/>
      <c r="H3628" s="25" t="s">
        <v>274</v>
      </c>
      <c r="I3628" s="27" t="s">
        <v>275</v>
      </c>
    </row>
    <row r="3629" spans="1:16" ht="15.75" customHeight="1" x14ac:dyDescent="0.35">
      <c r="B3629" s="20"/>
      <c r="C3629" s="30"/>
      <c r="D3629" s="11"/>
      <c r="E3629" s="11"/>
      <c r="F3629" s="11"/>
      <c r="G3629" s="1"/>
      <c r="H3629" s="1"/>
      <c r="I3629" s="1"/>
    </row>
    <row r="3630" spans="1:16" ht="15.75" customHeight="1" x14ac:dyDescent="0.35">
      <c r="B3630" s="20"/>
      <c r="C3630" s="30"/>
      <c r="D3630" s="11"/>
      <c r="E3630" s="11"/>
      <c r="F3630" s="11"/>
      <c r="G3630" s="1" t="s">
        <v>515</v>
      </c>
      <c r="K3630" s="32" t="s">
        <v>446</v>
      </c>
      <c r="L3630" s="9"/>
      <c r="M3630" s="9"/>
    </row>
    <row r="3631" spans="1:16" ht="15.75" customHeight="1" x14ac:dyDescent="0.35">
      <c r="B3631" s="20"/>
      <c r="G3631" s="1"/>
      <c r="H3631" s="1"/>
      <c r="K3631" s="32"/>
      <c r="L3631" s="9"/>
      <c r="M3631" s="9"/>
    </row>
    <row r="3632" spans="1:16" ht="15.75" customHeight="1" x14ac:dyDescent="0.35">
      <c r="B3632" s="20"/>
      <c r="G3632" s="1"/>
      <c r="H3632" s="1"/>
      <c r="K3632" s="9" t="s">
        <v>254</v>
      </c>
      <c r="L3632" s="9"/>
      <c r="M3632" s="9"/>
    </row>
    <row r="3633" spans="1:16" ht="15.75" customHeight="1" x14ac:dyDescent="0.35">
      <c r="B3633" s="9"/>
      <c r="C3633" s="9"/>
      <c r="D3633" s="9"/>
      <c r="E3633" s="9"/>
      <c r="F3633" s="12"/>
      <c r="G3633" s="12"/>
      <c r="H3633" s="12"/>
      <c r="I3633" s="12"/>
      <c r="J3633" s="12"/>
      <c r="K3633" s="12"/>
      <c r="L3633" s="1"/>
    </row>
    <row r="3634" spans="1:16" ht="15.75" customHeight="1" x14ac:dyDescent="0.35">
      <c r="B3634" s="13"/>
      <c r="C3634" s="13"/>
      <c r="D3634" s="15"/>
      <c r="G3634" s="16"/>
      <c r="H3634" s="14" t="s">
        <v>255</v>
      </c>
      <c r="I3634" s="14"/>
    </row>
    <row r="3635" spans="1:16" x14ac:dyDescent="0.35">
      <c r="B3635" s="13" t="s">
        <v>5</v>
      </c>
      <c r="C3635" s="13" t="s">
        <v>1</v>
      </c>
      <c r="D3635" s="15" t="str">
        <f>VLOOKUP(A3636,Inventory!$A$4:$K$1139,7)</f>
        <v xml:space="preserve">Sweet Marias                       </v>
      </c>
      <c r="F3635" s="13" t="s">
        <v>235</v>
      </c>
      <c r="G3635" s="16"/>
      <c r="L3635" s="17"/>
      <c r="M3635" s="17"/>
    </row>
    <row r="3636" spans="1:16" x14ac:dyDescent="0.35">
      <c r="A3636">
        <v>153</v>
      </c>
      <c r="B3636" s="5">
        <v>44047</v>
      </c>
      <c r="C3636" s="15" t="str">
        <f>VLOOKUP(A3636,Inventory!$A$4:$K$1139,2)</f>
        <v>Yemen Mokha Matari 2019</v>
      </c>
      <c r="F3636" s="31" t="s">
        <v>291</v>
      </c>
      <c r="G3636" s="2" t="s">
        <v>286</v>
      </c>
      <c r="L3636" s="17"/>
      <c r="M3636" s="17"/>
      <c r="P3636" s="8"/>
    </row>
    <row r="3637" spans="1:16" x14ac:dyDescent="0.35">
      <c r="B3637" t="s">
        <v>16</v>
      </c>
      <c r="G3637" s="16"/>
      <c r="L3637" s="19"/>
      <c r="M3637" s="19"/>
    </row>
    <row r="3638" spans="1:16" x14ac:dyDescent="0.35">
      <c r="B3638" s="20"/>
      <c r="C3638" s="11" t="s">
        <v>240</v>
      </c>
      <c r="D3638" s="11" t="s">
        <v>272</v>
      </c>
      <c r="E3638" s="11" t="s">
        <v>490</v>
      </c>
      <c r="F3638" s="11">
        <v>387</v>
      </c>
      <c r="G3638" s="11">
        <v>395</v>
      </c>
      <c r="H3638" s="11">
        <v>399</v>
      </c>
      <c r="I3638" s="11">
        <v>402</v>
      </c>
      <c r="J3638" s="11"/>
      <c r="K3638" s="11"/>
      <c r="L3638" s="28"/>
    </row>
    <row r="3639" spans="1:16" ht="15.75" customHeight="1" x14ac:dyDescent="0.35">
      <c r="B3639" s="20" t="s">
        <v>242</v>
      </c>
      <c r="C3639" s="21"/>
      <c r="D3639" s="22" t="s">
        <v>294</v>
      </c>
      <c r="E3639" s="23" t="s">
        <v>244</v>
      </c>
      <c r="F3639" s="23" t="s">
        <v>245</v>
      </c>
      <c r="G3639" s="23" t="s">
        <v>246</v>
      </c>
      <c r="H3639" s="23" t="s">
        <v>273</v>
      </c>
      <c r="I3639" s="23" t="s">
        <v>247</v>
      </c>
      <c r="O3639" s="4"/>
    </row>
    <row r="3640" spans="1:16" ht="1" customHeight="1" x14ac:dyDescent="0.35">
      <c r="B3640" s="24" t="s">
        <v>249</v>
      </c>
      <c r="C3640" s="25">
        <v>320</v>
      </c>
      <c r="D3640" s="25">
        <v>350</v>
      </c>
      <c r="E3640" s="25"/>
      <c r="F3640" s="25"/>
      <c r="G3640" s="25"/>
      <c r="H3640" s="23" t="s">
        <v>247</v>
      </c>
      <c r="I3640" s="25"/>
      <c r="O3640" t="e">
        <f>(O3638-3*O3637)/O3639</f>
        <v>#DIV/0!</v>
      </c>
    </row>
    <row r="3641" spans="1:16" ht="15.75" customHeight="1" x14ac:dyDescent="0.35">
      <c r="B3641" s="20" t="s">
        <v>250</v>
      </c>
      <c r="C3641" s="26">
        <v>0.1875</v>
      </c>
      <c r="D3641" s="26">
        <v>0.27777777777777779</v>
      </c>
      <c r="E3641" s="26">
        <v>0.37847222222222227</v>
      </c>
      <c r="F3641" s="26">
        <f>E3641+'Lookup Tables'!$N$1</f>
        <v>0.39930555555555558</v>
      </c>
      <c r="G3641" s="26">
        <f>F3641+'Lookup Tables'!$N$1</f>
        <v>0.4201388888888889</v>
      </c>
      <c r="H3641" s="26">
        <f>G3641+'Lookup Tables'!$S$1</f>
        <v>0.43055555555555558</v>
      </c>
      <c r="I3641" s="26">
        <f>H3641+'Lookup Tables'!$S$1</f>
        <v>0.44097222222222227</v>
      </c>
      <c r="J3641" s="11"/>
      <c r="K3641" s="11"/>
      <c r="N3641">
        <f>MAX(F3638:M3638)-O3641</f>
        <v>22</v>
      </c>
      <c r="O3641" t="str">
        <f>RIGHT(E3638,3)</f>
        <v>380</v>
      </c>
    </row>
    <row r="3642" spans="1:16" ht="15.75" customHeight="1" x14ac:dyDescent="0.35">
      <c r="B3642" s="20" t="s">
        <v>251</v>
      </c>
      <c r="C3642" s="27">
        <v>0.2</v>
      </c>
      <c r="D3642" s="27">
        <v>0.5</v>
      </c>
      <c r="E3642" s="27"/>
      <c r="F3642" s="27"/>
      <c r="G3642" s="27">
        <v>0.25</v>
      </c>
      <c r="H3642" s="27"/>
      <c r="I3642" s="27"/>
      <c r="N3642" t="str">
        <f xml:space="preserve">  N3641 &amp; " degrees this time"</f>
        <v>22 degrees this time</v>
      </c>
    </row>
    <row r="3643" spans="1:16" ht="15.75" customHeight="1" x14ac:dyDescent="0.35">
      <c r="B3643" s="20" t="s">
        <v>252</v>
      </c>
      <c r="C3643" s="27">
        <v>0.9</v>
      </c>
      <c r="D3643" s="27">
        <v>0.7</v>
      </c>
      <c r="E3643" s="27">
        <v>0.6</v>
      </c>
      <c r="F3643" s="27"/>
      <c r="G3643" s="27"/>
      <c r="H3643" s="27"/>
      <c r="I3643" s="27" t="s">
        <v>275</v>
      </c>
    </row>
    <row r="3644" spans="1:16" ht="15.75" customHeight="1" x14ac:dyDescent="0.35">
      <c r="B3644" s="20"/>
      <c r="D3644" s="11"/>
      <c r="E3644" s="40"/>
      <c r="F3644" s="11"/>
      <c r="G3644" s="11"/>
      <c r="K3644" s="9" t="s">
        <v>516</v>
      </c>
      <c r="L3644" s="9"/>
      <c r="M3644" s="9"/>
    </row>
    <row r="3645" spans="1:16" ht="15.75" customHeight="1" x14ac:dyDescent="0.35">
      <c r="B3645" s="38"/>
      <c r="D3645" s="15"/>
      <c r="F3645" s="13"/>
      <c r="G3645" s="1" t="s">
        <v>296</v>
      </c>
      <c r="K3645" s="32"/>
      <c r="L3645" s="9"/>
      <c r="M3645" s="9"/>
    </row>
    <row r="3646" spans="1:16" ht="15.75" customHeight="1" x14ac:dyDescent="0.35">
      <c r="B3646" s="20"/>
      <c r="G3646" s="1"/>
      <c r="H3646" s="1"/>
      <c r="K3646" s="9"/>
      <c r="L3646" s="9"/>
      <c r="M3646" s="9"/>
    </row>
    <row r="3647" spans="1:16" ht="15.75" customHeight="1" x14ac:dyDescent="0.35">
      <c r="B3647" s="20"/>
      <c r="G3647" s="1"/>
      <c r="H3647" s="1"/>
      <c r="K3647" s="9" t="s">
        <v>297</v>
      </c>
      <c r="L3647" s="9"/>
      <c r="M3647" s="9"/>
    </row>
    <row r="3648" spans="1:16" ht="15.75" customHeight="1" x14ac:dyDescent="0.35">
      <c r="B3648" s="9"/>
      <c r="C3648" s="9"/>
      <c r="D3648" s="9"/>
      <c r="E3648" s="9"/>
      <c r="F3648" s="12"/>
      <c r="G3648" s="12"/>
      <c r="H3648" s="12"/>
      <c r="I3648" s="12"/>
      <c r="J3648" s="12"/>
      <c r="K3648" s="12"/>
      <c r="L3648" s="1"/>
    </row>
    <row r="3649" spans="1:16" ht="15.75" customHeight="1" x14ac:dyDescent="0.35">
      <c r="B3649" s="13"/>
      <c r="C3649" s="13"/>
      <c r="D3649" s="13"/>
      <c r="E3649" s="13"/>
      <c r="F3649" s="33" t="s">
        <v>326</v>
      </c>
      <c r="G3649" s="13"/>
      <c r="I3649" s="14"/>
    </row>
    <row r="3650" spans="1:16" x14ac:dyDescent="0.35">
      <c r="B3650" s="13" t="s">
        <v>5</v>
      </c>
      <c r="C3650" s="13" t="s">
        <v>1</v>
      </c>
      <c r="D3650" s="15" t="str">
        <f>VLOOKUP(A3651,Inventory!$A$4:$K$1139,7)</f>
        <v xml:space="preserve">GCBC                               </v>
      </c>
      <c r="F3650" s="13" t="s">
        <v>235</v>
      </c>
      <c r="G3650" s="16"/>
      <c r="L3650" s="17"/>
      <c r="M3650" s="17"/>
    </row>
    <row r="3651" spans="1:16" x14ac:dyDescent="0.35">
      <c r="A3651">
        <v>140</v>
      </c>
      <c r="B3651" s="5">
        <v>44047</v>
      </c>
      <c r="C3651" s="15" t="str">
        <f>VLOOKUP(A3651,Inventory!$A$4:$K$1139,2)</f>
        <v>El Salvador Finca Buenos Aires Natural 2017</v>
      </c>
      <c r="F3651" s="34" t="s">
        <v>279</v>
      </c>
      <c r="G3651" s="2" t="s">
        <v>270</v>
      </c>
      <c r="L3651" s="17"/>
      <c r="M3651" s="17"/>
      <c r="P3651" s="8"/>
    </row>
    <row r="3652" spans="1:16" x14ac:dyDescent="0.35">
      <c r="D3652" s="40"/>
      <c r="L3652" s="19"/>
      <c r="M3652" s="19"/>
    </row>
    <row r="3653" spans="1:16" x14ac:dyDescent="0.35">
      <c r="B3653" s="20"/>
      <c r="C3653" s="11" t="s">
        <v>240</v>
      </c>
      <c r="D3653" s="11" t="s">
        <v>272</v>
      </c>
      <c r="E3653" s="11" t="s">
        <v>425</v>
      </c>
      <c r="F3653" s="11">
        <v>386</v>
      </c>
      <c r="G3653" s="11">
        <v>396</v>
      </c>
      <c r="H3653" s="11">
        <v>404</v>
      </c>
      <c r="I3653" s="11"/>
      <c r="J3653" s="11"/>
      <c r="K3653" s="28"/>
      <c r="L3653" s="28"/>
    </row>
    <row r="3654" spans="1:16" ht="15.75" customHeight="1" x14ac:dyDescent="0.35">
      <c r="B3654" s="20" t="s">
        <v>242</v>
      </c>
      <c r="C3654" s="21"/>
      <c r="D3654" s="22" t="s">
        <v>294</v>
      </c>
      <c r="E3654" s="23" t="s">
        <v>244</v>
      </c>
      <c r="F3654" s="23" t="s">
        <v>245</v>
      </c>
      <c r="G3654" s="23" t="s">
        <v>246</v>
      </c>
      <c r="H3654" s="23" t="s">
        <v>247</v>
      </c>
      <c r="O3654" s="4"/>
    </row>
    <row r="3655" spans="1:16" ht="1" customHeight="1" x14ac:dyDescent="0.35">
      <c r="B3655" s="24" t="s">
        <v>249</v>
      </c>
      <c r="C3655" s="25"/>
      <c r="D3655" s="25"/>
      <c r="E3655" s="25">
        <v>384</v>
      </c>
      <c r="F3655" s="25">
        <v>392</v>
      </c>
      <c r="G3655" s="25">
        <v>395</v>
      </c>
      <c r="H3655" s="25"/>
      <c r="O3655" t="e">
        <f>(O3653-3*O3652)/O3654</f>
        <v>#DIV/0!</v>
      </c>
    </row>
    <row r="3656" spans="1:16" ht="15.75" customHeight="1" x14ac:dyDescent="0.35">
      <c r="B3656" s="20" t="s">
        <v>250</v>
      </c>
      <c r="C3656" s="26">
        <v>0.22222222222222221</v>
      </c>
      <c r="D3656" s="26">
        <v>0.30555555555555552</v>
      </c>
      <c r="E3656" s="26">
        <v>0.38541666666666669</v>
      </c>
      <c r="F3656" s="26">
        <f>E3656+'Lookup Tables'!$N$1</f>
        <v>0.40625</v>
      </c>
      <c r="G3656" s="26">
        <f>F3656+'Lookup Tables'!$N$1</f>
        <v>0.42708333333333331</v>
      </c>
      <c r="H3656" s="26">
        <f>G3656+'Lookup Tables'!$N$1</f>
        <v>0.44791666666666663</v>
      </c>
      <c r="N3656">
        <f>MAX(F3653:M3653)-O3656</f>
        <v>28</v>
      </c>
      <c r="O3656" t="str">
        <f>RIGHT(E3653,3)</f>
        <v>376</v>
      </c>
    </row>
    <row r="3657" spans="1:16" ht="15.75" customHeight="1" x14ac:dyDescent="0.35">
      <c r="B3657" s="20" t="s">
        <v>251</v>
      </c>
      <c r="C3657" s="27">
        <v>0.2</v>
      </c>
      <c r="D3657" s="27">
        <v>0.5</v>
      </c>
      <c r="E3657" s="27"/>
      <c r="F3657" s="27" t="s">
        <v>274</v>
      </c>
      <c r="G3657" s="27"/>
      <c r="H3657" s="27"/>
      <c r="N3657" t="str">
        <f xml:space="preserve">  N3656 &amp; " degrees this time"</f>
        <v>28 degrees this time</v>
      </c>
    </row>
    <row r="3658" spans="1:16" ht="15.75" customHeight="1" x14ac:dyDescent="0.35">
      <c r="B3658" s="20" t="s">
        <v>252</v>
      </c>
      <c r="C3658" s="27">
        <v>0.9</v>
      </c>
      <c r="D3658" s="27">
        <v>0.8</v>
      </c>
      <c r="E3658" s="27">
        <v>0.5</v>
      </c>
      <c r="F3658" s="27" t="s">
        <v>274</v>
      </c>
      <c r="G3658" s="27"/>
      <c r="H3658" s="27" t="s">
        <v>275</v>
      </c>
    </row>
    <row r="3659" spans="1:16" ht="15.75" customHeight="1" x14ac:dyDescent="0.35">
      <c r="B3659" s="20"/>
      <c r="C3659" s="30"/>
      <c r="F3659" s="40"/>
      <c r="H3659" s="13"/>
      <c r="I3659" s="13"/>
      <c r="J3659" s="35"/>
    </row>
    <row r="3660" spans="1:16" ht="15.75" customHeight="1" x14ac:dyDescent="0.35">
      <c r="C3660" s="30"/>
      <c r="G3660" s="1" t="s">
        <v>478</v>
      </c>
      <c r="K3660" s="9"/>
      <c r="L3660" s="9"/>
      <c r="M3660" s="9"/>
    </row>
    <row r="3661" spans="1:16" ht="15.75" customHeight="1" x14ac:dyDescent="0.35">
      <c r="B3661" s="20"/>
      <c r="G3661" s="1"/>
      <c r="H3661" s="1"/>
      <c r="K3661" s="9"/>
      <c r="L3661" s="9"/>
      <c r="M3661" s="9"/>
    </row>
    <row r="3662" spans="1:16" ht="15.75" customHeight="1" x14ac:dyDescent="0.35">
      <c r="B3662" s="20"/>
      <c r="G3662" s="1"/>
      <c r="H3662" s="1"/>
      <c r="K3662" s="32" t="s">
        <v>277</v>
      </c>
      <c r="L3662" s="9"/>
      <c r="M3662" s="9"/>
    </row>
    <row r="3663" spans="1:16" ht="15.75" customHeight="1" x14ac:dyDescent="0.35">
      <c r="B3663" s="9"/>
      <c r="C3663" s="9"/>
      <c r="D3663" s="9"/>
      <c r="E3663" s="9"/>
      <c r="F3663" s="12"/>
      <c r="G3663" s="12"/>
      <c r="H3663" s="12"/>
      <c r="I3663" s="12"/>
      <c r="J3663" s="12"/>
      <c r="K3663" s="12"/>
      <c r="L3663" s="1"/>
    </row>
    <row r="3664" spans="1:16" ht="15.75" customHeight="1" x14ac:dyDescent="0.35">
      <c r="B3664" s="13"/>
      <c r="C3664" s="13"/>
      <c r="D3664" s="13"/>
      <c r="E3664" s="13"/>
      <c r="F3664" s="13"/>
      <c r="G3664" s="13"/>
      <c r="I3664" s="14"/>
    </row>
    <row r="3665" spans="1:16" x14ac:dyDescent="0.35">
      <c r="B3665" s="13" t="s">
        <v>5</v>
      </c>
      <c r="C3665" s="13" t="s">
        <v>1</v>
      </c>
      <c r="D3665" s="15" t="str">
        <f>VLOOKUP(A3666,Inventory!$A$4:$K$1139,7)</f>
        <v xml:space="preserve">GCBC                               </v>
      </c>
      <c r="F3665" s="13" t="s">
        <v>235</v>
      </c>
      <c r="G3665" s="16"/>
      <c r="H3665" s="14" t="s">
        <v>236</v>
      </c>
      <c r="L3665" s="17"/>
      <c r="M3665" s="17"/>
    </row>
    <row r="3666" spans="1:16" x14ac:dyDescent="0.35">
      <c r="A3666">
        <v>155</v>
      </c>
      <c r="B3666" s="5">
        <v>44037</v>
      </c>
      <c r="C3666" s="15" t="str">
        <f>VLOOKUP(A3666,Inventory!$A$4:$K$1139,2)</f>
        <v>Organic Ethiopian Sidamo 2019 WP Decaf</v>
      </c>
      <c r="F3666" s="18" t="s">
        <v>237</v>
      </c>
      <c r="G3666" s="2" t="s">
        <v>238</v>
      </c>
      <c r="L3666" s="17"/>
      <c r="M3666" s="17"/>
      <c r="P3666" s="8"/>
    </row>
    <row r="3667" spans="1:16" x14ac:dyDescent="0.35">
      <c r="J3667" s="1" t="s">
        <v>16</v>
      </c>
      <c r="L3667" s="19"/>
      <c r="M3667" s="19"/>
    </row>
    <row r="3668" spans="1:16" x14ac:dyDescent="0.35">
      <c r="C3668" s="11" t="s">
        <v>240</v>
      </c>
      <c r="D3668" s="11" t="s">
        <v>241</v>
      </c>
      <c r="E3668" s="11" t="s">
        <v>517</v>
      </c>
      <c r="F3668" s="11">
        <v>366</v>
      </c>
      <c r="G3668" s="11">
        <v>372</v>
      </c>
      <c r="H3668" s="11">
        <v>378</v>
      </c>
      <c r="I3668" s="11">
        <v>384</v>
      </c>
      <c r="J3668" s="11"/>
      <c r="K3668" s="11"/>
      <c r="L3668" s="11"/>
    </row>
    <row r="3669" spans="1:16" ht="15.75" customHeight="1" x14ac:dyDescent="0.35">
      <c r="B3669" s="20" t="s">
        <v>242</v>
      </c>
      <c r="C3669" s="30"/>
      <c r="D3669" s="22" t="s">
        <v>433</v>
      </c>
      <c r="E3669" s="23" t="s">
        <v>244</v>
      </c>
      <c r="F3669" s="23" t="s">
        <v>245</v>
      </c>
      <c r="G3669" s="23" t="s">
        <v>246</v>
      </c>
      <c r="H3669" s="23" t="s">
        <v>247</v>
      </c>
      <c r="I3669" s="23" t="s">
        <v>259</v>
      </c>
      <c r="J3669" s="23" t="s">
        <v>260</v>
      </c>
      <c r="K3669" s="23" t="s">
        <v>261</v>
      </c>
      <c r="O3669" s="4"/>
    </row>
    <row r="3670" spans="1:16" ht="1" customHeight="1" x14ac:dyDescent="0.35">
      <c r="B3670" s="24" t="s">
        <v>249</v>
      </c>
      <c r="C3670" s="25">
        <v>320</v>
      </c>
      <c r="D3670" s="25">
        <v>350</v>
      </c>
      <c r="E3670" s="25">
        <v>377</v>
      </c>
      <c r="F3670" s="25">
        <v>384</v>
      </c>
      <c r="G3670" s="25">
        <v>388</v>
      </c>
      <c r="H3670" s="25">
        <v>392</v>
      </c>
      <c r="I3670" s="25">
        <v>395</v>
      </c>
      <c r="J3670" s="25">
        <v>415</v>
      </c>
      <c r="K3670" s="25">
        <v>415</v>
      </c>
      <c r="O3670" t="e">
        <f>(O3668-3*O3667)/O3669</f>
        <v>#DIV/0!</v>
      </c>
    </row>
    <row r="3671" spans="1:16" ht="15.75" customHeight="1" x14ac:dyDescent="0.35">
      <c r="B3671" s="20" t="s">
        <v>250</v>
      </c>
      <c r="C3671" s="26">
        <v>0.23263888888888887</v>
      </c>
      <c r="D3671" s="26">
        <v>0.30555555555555552</v>
      </c>
      <c r="E3671" s="26">
        <v>0.37152777777777773</v>
      </c>
      <c r="F3671" s="26">
        <f>E3671+'Lookup Tables'!$N$1</f>
        <v>0.39236111111111105</v>
      </c>
      <c r="G3671" s="26">
        <f>F3671+'Lookup Tables'!$N$1</f>
        <v>0.41319444444444436</v>
      </c>
      <c r="H3671" s="26">
        <f>G3671+'Lookup Tables'!$N$1</f>
        <v>0.43402777777777768</v>
      </c>
      <c r="I3671" s="26">
        <f>H3671+'Lookup Tables'!$N$1</f>
        <v>0.45486111111111099</v>
      </c>
      <c r="J3671" s="26">
        <f>I3671+'Lookup Tables'!$M$1</f>
        <v>0.46527777777777768</v>
      </c>
      <c r="K3671" s="26">
        <f>J3671+'Lookup Tables'!$M$1</f>
        <v>0.47569444444444436</v>
      </c>
      <c r="N3671">
        <f>MAX(F3668:M3668)-O3671</f>
        <v>25</v>
      </c>
      <c r="O3671" t="str">
        <f>RIGHT(E3668,3)</f>
        <v>359</v>
      </c>
    </row>
    <row r="3672" spans="1:16" ht="15.75" customHeight="1" x14ac:dyDescent="0.35">
      <c r="B3672" s="20" t="s">
        <v>251</v>
      </c>
      <c r="C3672" s="27">
        <v>0.2</v>
      </c>
      <c r="D3672" s="27">
        <v>0.5</v>
      </c>
      <c r="E3672" s="27"/>
      <c r="F3672" s="27"/>
      <c r="G3672" s="27"/>
      <c r="H3672" s="27"/>
      <c r="I3672" s="27"/>
      <c r="J3672" s="27"/>
      <c r="K3672" s="27"/>
      <c r="N3672" t="str">
        <f xml:space="preserve">  N3671 &amp; " degrees this time"</f>
        <v>25 degrees this time</v>
      </c>
    </row>
    <row r="3673" spans="1:16" ht="15.75" customHeight="1" x14ac:dyDescent="0.35">
      <c r="B3673" s="20" t="s">
        <v>252</v>
      </c>
      <c r="C3673" s="27">
        <v>0.9</v>
      </c>
      <c r="D3673" s="27">
        <v>0.7</v>
      </c>
      <c r="E3673" s="27">
        <v>0.6</v>
      </c>
      <c r="F3673" s="27"/>
      <c r="G3673" s="27"/>
      <c r="H3673" s="27"/>
      <c r="I3673" s="27"/>
      <c r="J3673" s="27"/>
      <c r="K3673" s="27"/>
    </row>
    <row r="3674" spans="1:16" ht="15.75" customHeight="1" x14ac:dyDescent="0.35">
      <c r="B3674" s="20"/>
      <c r="D3674" s="11"/>
      <c r="E3674" s="11"/>
      <c r="F3674" s="28"/>
      <c r="H3674" s="1"/>
      <c r="I3674" s="1"/>
    </row>
    <row r="3675" spans="1:16" ht="15.75" customHeight="1" x14ac:dyDescent="0.35">
      <c r="G3675" s="1" t="s">
        <v>383</v>
      </c>
      <c r="K3675" s="9"/>
      <c r="L3675" s="9"/>
      <c r="M3675" s="9"/>
    </row>
    <row r="3676" spans="1:16" ht="15.75" customHeight="1" x14ac:dyDescent="0.35">
      <c r="B3676" s="20"/>
      <c r="G3676" s="1"/>
      <c r="H3676" s="1"/>
      <c r="K3676" s="9"/>
      <c r="L3676" s="9"/>
      <c r="M3676" s="9"/>
    </row>
    <row r="3677" spans="1:16" ht="15.75" customHeight="1" x14ac:dyDescent="0.35">
      <c r="B3677" s="20"/>
      <c r="G3677" s="1"/>
      <c r="H3677" s="1"/>
      <c r="K3677" s="9" t="s">
        <v>254</v>
      </c>
      <c r="L3677" s="9"/>
      <c r="M3677" s="9"/>
    </row>
    <row r="3678" spans="1:16" ht="15.75" customHeight="1" x14ac:dyDescent="0.35">
      <c r="B3678" s="9"/>
      <c r="C3678" s="9"/>
      <c r="D3678" s="9"/>
      <c r="E3678" s="9"/>
      <c r="F3678" s="12"/>
      <c r="G3678" s="12"/>
      <c r="H3678" s="12"/>
      <c r="I3678" s="12"/>
      <c r="J3678" s="12"/>
      <c r="K3678" s="12"/>
      <c r="L3678" s="1"/>
    </row>
    <row r="3679" spans="1:16" ht="15.75" customHeight="1" x14ac:dyDescent="0.35">
      <c r="B3679" s="13"/>
      <c r="C3679" s="13"/>
      <c r="D3679" s="15"/>
      <c r="H3679" s="14" t="s">
        <v>255</v>
      </c>
      <c r="I3679" s="14"/>
    </row>
    <row r="3680" spans="1:16" x14ac:dyDescent="0.35">
      <c r="B3680" s="13" t="s">
        <v>5</v>
      </c>
      <c r="C3680" s="13" t="s">
        <v>1</v>
      </c>
      <c r="D3680" s="15" t="str">
        <f>VLOOKUP(A3681,Inventory!$A$4:$K$1139,7)</f>
        <v xml:space="preserve">GCBC                               </v>
      </c>
      <c r="F3680" s="13" t="s">
        <v>235</v>
      </c>
      <c r="G3680" s="16"/>
      <c r="H3680" s="14" t="s">
        <v>256</v>
      </c>
      <c r="L3680" s="17"/>
      <c r="M3680" s="17"/>
    </row>
    <row r="3681" spans="1:16" x14ac:dyDescent="0.35">
      <c r="A3681">
        <v>155</v>
      </c>
      <c r="B3681" s="5">
        <v>44037</v>
      </c>
      <c r="C3681" s="15" t="str">
        <f>VLOOKUP(A3681,Inventory!$A$4:$K$1139,2)</f>
        <v>Organic Ethiopian Sidamo 2019 WP Decaf</v>
      </c>
      <c r="F3681" s="18" t="s">
        <v>257</v>
      </c>
      <c r="G3681" s="2" t="s">
        <v>238</v>
      </c>
      <c r="L3681" s="17"/>
      <c r="M3681" s="17"/>
      <c r="P3681" s="8"/>
    </row>
    <row r="3682" spans="1:16" x14ac:dyDescent="0.35">
      <c r="L3682" s="19"/>
      <c r="M3682" s="19"/>
    </row>
    <row r="3683" spans="1:16" x14ac:dyDescent="0.35">
      <c r="C3683" s="11" t="s">
        <v>240</v>
      </c>
      <c r="D3683" s="11" t="s">
        <v>241</v>
      </c>
      <c r="E3683" s="11" t="s">
        <v>441</v>
      </c>
      <c r="F3683" s="11">
        <v>377</v>
      </c>
      <c r="G3683" s="11">
        <v>381</v>
      </c>
      <c r="H3683" s="11">
        <v>386</v>
      </c>
      <c r="I3683" s="11">
        <v>391</v>
      </c>
      <c r="J3683" s="11"/>
      <c r="K3683" s="11"/>
      <c r="L3683" s="11"/>
    </row>
    <row r="3684" spans="1:16" ht="15.75" customHeight="1" x14ac:dyDescent="0.35">
      <c r="B3684" s="20" t="s">
        <v>242</v>
      </c>
      <c r="C3684" s="30"/>
      <c r="D3684" s="30"/>
      <c r="E3684" s="23" t="s">
        <v>244</v>
      </c>
      <c r="F3684" s="23" t="s">
        <v>245</v>
      </c>
      <c r="G3684" s="23" t="s">
        <v>246</v>
      </c>
      <c r="H3684" s="23" t="s">
        <v>247</v>
      </c>
      <c r="I3684" s="23" t="s">
        <v>259</v>
      </c>
      <c r="J3684" s="23" t="s">
        <v>260</v>
      </c>
      <c r="K3684" s="23" t="s">
        <v>261</v>
      </c>
      <c r="O3684" s="4"/>
    </row>
    <row r="3685" spans="1:16" ht="1" customHeight="1" x14ac:dyDescent="0.35">
      <c r="B3685" s="24" t="s">
        <v>249</v>
      </c>
      <c r="C3685" s="25">
        <v>320</v>
      </c>
      <c r="D3685" s="25">
        <v>350</v>
      </c>
      <c r="E3685" s="25">
        <v>377</v>
      </c>
      <c r="F3685" s="25">
        <v>384</v>
      </c>
      <c r="G3685" s="25">
        <v>388</v>
      </c>
      <c r="H3685" s="25">
        <v>392</v>
      </c>
      <c r="I3685" s="25">
        <v>395</v>
      </c>
      <c r="J3685" s="25">
        <v>415</v>
      </c>
      <c r="K3685" s="25">
        <v>415</v>
      </c>
      <c r="O3685" t="e">
        <f>(O3683-3*O3682)/O3684</f>
        <v>#DIV/0!</v>
      </c>
    </row>
    <row r="3686" spans="1:16" ht="15.75" customHeight="1" x14ac:dyDescent="0.35">
      <c r="B3686" s="20" t="s">
        <v>250</v>
      </c>
      <c r="C3686" s="26">
        <v>0.20486111111111113</v>
      </c>
      <c r="D3686" s="26">
        <v>0.27777777777777779</v>
      </c>
      <c r="E3686" s="26">
        <v>0.36805555555555558</v>
      </c>
      <c r="F3686" s="26">
        <f>E3686+'Lookup Tables'!$N$1</f>
        <v>0.3888888888888889</v>
      </c>
      <c r="G3686" s="26">
        <f>F3686+'Lookup Tables'!$N$1</f>
        <v>0.40972222222222221</v>
      </c>
      <c r="H3686" s="26">
        <f>G3686+'Lookup Tables'!$N$1</f>
        <v>0.43055555555555552</v>
      </c>
      <c r="I3686" s="26">
        <f>H3686+'Lookup Tables'!$N$1</f>
        <v>0.45138888888888884</v>
      </c>
      <c r="J3686" s="26">
        <f>I3686+'Lookup Tables'!$M$1</f>
        <v>0.46180555555555552</v>
      </c>
      <c r="K3686" s="26">
        <f>J3686+'Lookup Tables'!$M$1</f>
        <v>0.47222222222222221</v>
      </c>
      <c r="N3686">
        <f>MAX(F3683:M3683)-O3686</f>
        <v>22</v>
      </c>
      <c r="O3686" t="str">
        <f>RIGHT(E3683,3)</f>
        <v>369</v>
      </c>
    </row>
    <row r="3687" spans="1:16" ht="15.75" customHeight="1" x14ac:dyDescent="0.35">
      <c r="B3687" s="20" t="s">
        <v>251</v>
      </c>
      <c r="C3687" s="27">
        <v>0.2</v>
      </c>
      <c r="D3687" s="27">
        <v>0.5</v>
      </c>
      <c r="E3687" s="27"/>
      <c r="F3687" s="27"/>
      <c r="G3687" s="27"/>
      <c r="H3687" s="27"/>
      <c r="I3687" s="27"/>
      <c r="J3687" s="27"/>
      <c r="K3687" s="25"/>
      <c r="N3687" t="str">
        <f xml:space="preserve">  N3686 &amp; " degrees this time"</f>
        <v>22 degrees this time</v>
      </c>
    </row>
    <row r="3688" spans="1:16" ht="15.75" customHeight="1" x14ac:dyDescent="0.35">
      <c r="B3688" s="20" t="s">
        <v>252</v>
      </c>
      <c r="C3688" s="27">
        <v>0.9</v>
      </c>
      <c r="D3688" s="27">
        <v>0.7</v>
      </c>
      <c r="E3688" s="27">
        <v>0.6</v>
      </c>
      <c r="F3688" s="27"/>
      <c r="G3688" s="27"/>
      <c r="H3688" s="27"/>
      <c r="I3688" s="27"/>
      <c r="J3688" s="27"/>
      <c r="K3688" s="27"/>
    </row>
    <row r="3689" spans="1:16" ht="15.75" customHeight="1" x14ac:dyDescent="0.35">
      <c r="B3689" s="20"/>
      <c r="D3689" s="11"/>
      <c r="E3689" s="11"/>
      <c r="F3689" s="28"/>
      <c r="H3689" s="1"/>
    </row>
    <row r="3690" spans="1:16" ht="15.75" customHeight="1" x14ac:dyDescent="0.35">
      <c r="B3690" s="1" t="s">
        <v>385</v>
      </c>
      <c r="F3690" t="s">
        <v>263</v>
      </c>
      <c r="G3690" s="1"/>
      <c r="K3690" s="9"/>
      <c r="L3690" s="9"/>
      <c r="M3690" s="9"/>
    </row>
    <row r="3691" spans="1:16" ht="15.75" customHeight="1" x14ac:dyDescent="0.35">
      <c r="B3691" s="20" t="s">
        <v>264</v>
      </c>
      <c r="D3691" s="29"/>
      <c r="F3691" t="s">
        <v>265</v>
      </c>
      <c r="G3691" s="1"/>
      <c r="H3691" s="1"/>
      <c r="K3691" s="9" t="s">
        <v>386</v>
      </c>
      <c r="L3691" s="9"/>
      <c r="M3691" s="9"/>
    </row>
    <row r="3692" spans="1:16" ht="15.75" customHeight="1" x14ac:dyDescent="0.35">
      <c r="B3692" s="20" t="s">
        <v>267</v>
      </c>
      <c r="F3692" t="s">
        <v>268</v>
      </c>
      <c r="G3692" s="1"/>
      <c r="H3692" s="1"/>
      <c r="K3692" s="9" t="s">
        <v>254</v>
      </c>
      <c r="L3692" s="9"/>
      <c r="M3692" s="9"/>
    </row>
    <row r="3693" spans="1:16" ht="15.75" customHeight="1" x14ac:dyDescent="0.35">
      <c r="B3693" s="9"/>
      <c r="C3693" s="9"/>
      <c r="D3693" s="9"/>
      <c r="E3693" s="9"/>
      <c r="F3693" s="12"/>
      <c r="G3693" s="12"/>
      <c r="H3693" s="12"/>
      <c r="I3693" s="12"/>
      <c r="J3693" s="12"/>
      <c r="K3693" s="12"/>
      <c r="L3693" s="1"/>
    </row>
    <row r="3694" spans="1:16" ht="15.75" customHeight="1" x14ac:dyDescent="0.35">
      <c r="B3694" s="13"/>
      <c r="C3694" s="13"/>
      <c r="D3694" s="15"/>
      <c r="H3694" s="14" t="s">
        <v>255</v>
      </c>
    </row>
    <row r="3695" spans="1:16" x14ac:dyDescent="0.35">
      <c r="B3695" s="13" t="s">
        <v>5</v>
      </c>
      <c r="C3695" s="13" t="s">
        <v>1</v>
      </c>
      <c r="D3695" s="15" t="str">
        <f>VLOOKUP(A3696,Inventory!$A$4:$K$1139,7)</f>
        <v>Leverhead Coffee</v>
      </c>
      <c r="F3695" s="13" t="s">
        <v>235</v>
      </c>
      <c r="G3695" s="16"/>
      <c r="L3695" s="17"/>
      <c r="M3695" s="17"/>
    </row>
    <row r="3696" spans="1:16" x14ac:dyDescent="0.35">
      <c r="A3696">
        <v>138</v>
      </c>
      <c r="B3696" s="5">
        <v>44037</v>
      </c>
      <c r="C3696" s="15" t="str">
        <f>VLOOKUP(A3696,Inventory!$A$4:$K$1139,2)</f>
        <v>Sidamo Chuchu 2017</v>
      </c>
      <c r="E3696" s="11"/>
      <c r="F3696" s="31" t="s">
        <v>291</v>
      </c>
      <c r="G3696" s="2" t="s">
        <v>286</v>
      </c>
      <c r="L3696" s="17"/>
      <c r="M3696" s="17"/>
      <c r="P3696" s="8"/>
    </row>
    <row r="3697" spans="1:16" x14ac:dyDescent="0.35">
      <c r="D3697" s="11"/>
      <c r="E3697" s="11"/>
      <c r="G3697" s="16"/>
      <c r="L3697" s="19"/>
      <c r="M3697" s="19"/>
    </row>
    <row r="3698" spans="1:16" x14ac:dyDescent="0.35">
      <c r="B3698" s="20"/>
      <c r="C3698" s="11" t="s">
        <v>240</v>
      </c>
      <c r="D3698" s="11" t="s">
        <v>272</v>
      </c>
      <c r="E3698" s="11" t="s">
        <v>513</v>
      </c>
      <c r="F3698" s="11">
        <v>378</v>
      </c>
      <c r="G3698" s="11">
        <v>384</v>
      </c>
      <c r="H3698" s="11">
        <v>389</v>
      </c>
      <c r="I3698" s="11">
        <v>393</v>
      </c>
      <c r="J3698" s="11"/>
      <c r="K3698" s="11"/>
      <c r="L3698" s="28"/>
    </row>
    <row r="3699" spans="1:16" ht="15.75" customHeight="1" x14ac:dyDescent="0.35">
      <c r="B3699" s="20" t="s">
        <v>242</v>
      </c>
      <c r="C3699" s="30"/>
      <c r="D3699" s="30"/>
      <c r="E3699" s="23" t="s">
        <v>244</v>
      </c>
      <c r="F3699" s="23" t="s">
        <v>245</v>
      </c>
      <c r="G3699" s="23" t="s">
        <v>246</v>
      </c>
      <c r="H3699" s="23" t="s">
        <v>247</v>
      </c>
      <c r="I3699" s="23" t="s">
        <v>248</v>
      </c>
      <c r="O3699" s="4"/>
    </row>
    <row r="3700" spans="1:16" ht="1" customHeight="1" x14ac:dyDescent="0.35">
      <c r="B3700" s="24" t="s">
        <v>249</v>
      </c>
      <c r="C3700" s="25"/>
      <c r="D3700" s="25"/>
      <c r="E3700" s="25"/>
      <c r="F3700" s="25"/>
      <c r="G3700" s="25"/>
      <c r="H3700" s="25"/>
      <c r="I3700" s="25"/>
      <c r="O3700" t="e">
        <f>(O3698-3*O3697)/O3699</f>
        <v>#DIV/0!</v>
      </c>
    </row>
    <row r="3701" spans="1:16" ht="15.75" customHeight="1" x14ac:dyDescent="0.35">
      <c r="B3701" s="20" t="s">
        <v>250</v>
      </c>
      <c r="C3701" s="26">
        <v>0.17361111111111113</v>
      </c>
      <c r="D3701" s="26">
        <v>0.25</v>
      </c>
      <c r="E3701" s="26">
        <v>0.33333333333333331</v>
      </c>
      <c r="F3701" s="26">
        <f>E3701+'Lookup Tables'!$N$1</f>
        <v>0.35416666666666663</v>
      </c>
      <c r="G3701" s="26">
        <f>F3701+'Lookup Tables'!$N$1</f>
        <v>0.37499999999999994</v>
      </c>
      <c r="H3701" s="26">
        <f>G3701+'Lookup Tables'!$N$1</f>
        <v>0.39583333333333326</v>
      </c>
      <c r="I3701" s="26">
        <f>H3701+'Lookup Tables'!$S$1</f>
        <v>0.40624999999999994</v>
      </c>
      <c r="N3701">
        <f>MAX(F3698:M3698)-O3701</f>
        <v>22</v>
      </c>
      <c r="O3701" t="str">
        <f>RIGHT(E3698,3)</f>
        <v>371</v>
      </c>
    </row>
    <row r="3702" spans="1:16" ht="15.75" customHeight="1" x14ac:dyDescent="0.35">
      <c r="B3702" s="20" t="s">
        <v>251</v>
      </c>
      <c r="C3702" s="27">
        <v>0.2</v>
      </c>
      <c r="D3702" s="27">
        <v>0.5</v>
      </c>
      <c r="E3702" s="27"/>
      <c r="F3702" s="27"/>
      <c r="G3702" s="27"/>
      <c r="H3702" s="27"/>
      <c r="I3702" s="27"/>
      <c r="N3702" t="str">
        <f xml:space="preserve">  N3701 &amp; " degrees this time"</f>
        <v>22 degrees this time</v>
      </c>
    </row>
    <row r="3703" spans="1:16" ht="15.75" customHeight="1" x14ac:dyDescent="0.35">
      <c r="B3703" s="20" t="s">
        <v>252</v>
      </c>
      <c r="C3703" s="27">
        <v>0.9</v>
      </c>
      <c r="D3703" s="27">
        <v>0.7</v>
      </c>
      <c r="E3703" s="27"/>
      <c r="F3703" s="27">
        <v>0.6</v>
      </c>
      <c r="G3703" s="27"/>
      <c r="H3703" s="27"/>
      <c r="I3703" s="27" t="s">
        <v>275</v>
      </c>
    </row>
    <row r="3704" spans="1:16" ht="15.75" customHeight="1" x14ac:dyDescent="0.35">
      <c r="B3704" s="20"/>
      <c r="F3704" s="1"/>
    </row>
    <row r="3705" spans="1:16" ht="15.75" customHeight="1" x14ac:dyDescent="0.35">
      <c r="B3705" s="20"/>
      <c r="G3705" s="1" t="s">
        <v>504</v>
      </c>
      <c r="K3705" s="9" t="s">
        <v>508</v>
      </c>
      <c r="L3705" s="9"/>
      <c r="M3705" s="9"/>
    </row>
    <row r="3706" spans="1:16" ht="15.75" customHeight="1" x14ac:dyDescent="0.35">
      <c r="B3706" s="20"/>
      <c r="G3706" s="1"/>
      <c r="H3706" s="1"/>
      <c r="K3706" s="12"/>
      <c r="L3706" s="9"/>
      <c r="M3706" s="9"/>
    </row>
    <row r="3707" spans="1:16" ht="15.75" customHeight="1" x14ac:dyDescent="0.35">
      <c r="B3707" s="20"/>
      <c r="G3707" s="1"/>
      <c r="H3707" s="1"/>
      <c r="K3707" s="9" t="s">
        <v>300</v>
      </c>
      <c r="L3707" s="9"/>
      <c r="M3707" s="9"/>
    </row>
    <row r="3708" spans="1:16" ht="15.75" customHeight="1" x14ac:dyDescent="0.35">
      <c r="B3708" s="9"/>
      <c r="C3708" s="9"/>
      <c r="D3708" s="9"/>
      <c r="E3708" s="9"/>
      <c r="F3708" s="12"/>
      <c r="G3708" s="12"/>
      <c r="H3708" s="12"/>
      <c r="I3708" s="12"/>
      <c r="J3708" s="12"/>
      <c r="K3708" s="12"/>
      <c r="L3708" s="1"/>
    </row>
    <row r="3709" spans="1:16" ht="15.75" customHeight="1" x14ac:dyDescent="0.35">
      <c r="B3709" s="13"/>
      <c r="C3709" s="13"/>
      <c r="D3709" s="15"/>
    </row>
    <row r="3710" spans="1:16" x14ac:dyDescent="0.35">
      <c r="B3710" s="13" t="s">
        <v>5</v>
      </c>
      <c r="C3710" s="13" t="s">
        <v>1</v>
      </c>
      <c r="D3710" s="15" t="str">
        <f>VLOOKUP(A3711,Inventory!$A$4:$K$1139,7)</f>
        <v xml:space="preserve">Roastmasters                       </v>
      </c>
      <c r="F3710" s="13" t="s">
        <v>235</v>
      </c>
      <c r="G3710" s="16"/>
      <c r="L3710" s="17"/>
      <c r="M3710" s="17"/>
    </row>
    <row r="3711" spans="1:16" x14ac:dyDescent="0.35">
      <c r="A3711">
        <v>150</v>
      </c>
      <c r="B3711" s="5">
        <v>44037</v>
      </c>
      <c r="C3711" s="15" t="str">
        <f>VLOOKUP(A3711,Inventory!$A$4:$K$1139,2)</f>
        <v>Ethiopia Yirgacheffe Reko 2018</v>
      </c>
      <c r="F3711" s="34" t="s">
        <v>279</v>
      </c>
      <c r="G3711" s="2" t="s">
        <v>286</v>
      </c>
      <c r="L3711" s="17"/>
      <c r="M3711" s="17"/>
      <c r="P3711" s="8"/>
    </row>
    <row r="3712" spans="1:16" x14ac:dyDescent="0.35">
      <c r="G3712" s="16"/>
      <c r="L3712" s="19"/>
      <c r="M3712" s="19"/>
    </row>
    <row r="3713" spans="1:16" x14ac:dyDescent="0.35">
      <c r="B3713" s="20"/>
      <c r="C3713" s="11" t="s">
        <v>240</v>
      </c>
      <c r="D3713" s="11" t="s">
        <v>241</v>
      </c>
      <c r="E3713" s="11" t="s">
        <v>469</v>
      </c>
      <c r="F3713" s="11">
        <v>375</v>
      </c>
      <c r="G3713" s="11">
        <v>381</v>
      </c>
      <c r="H3713" s="11">
        <v>391</v>
      </c>
      <c r="I3713" s="11">
        <v>395</v>
      </c>
      <c r="J3713" s="11"/>
      <c r="K3713" s="11"/>
      <c r="L3713" s="28"/>
    </row>
    <row r="3714" spans="1:16" ht="15.75" customHeight="1" x14ac:dyDescent="0.35">
      <c r="B3714" s="20" t="s">
        <v>242</v>
      </c>
      <c r="C3714" s="30"/>
      <c r="D3714" s="30"/>
      <c r="E3714" s="23" t="s">
        <v>244</v>
      </c>
      <c r="F3714" s="23" t="s">
        <v>245</v>
      </c>
      <c r="G3714" s="23" t="s">
        <v>246</v>
      </c>
      <c r="H3714" s="23" t="s">
        <v>247</v>
      </c>
      <c r="I3714" s="23" t="s">
        <v>248</v>
      </c>
      <c r="O3714" s="4"/>
    </row>
    <row r="3715" spans="1:16" ht="1" customHeight="1" x14ac:dyDescent="0.35">
      <c r="B3715" s="24" t="s">
        <v>249</v>
      </c>
      <c r="C3715" s="25"/>
      <c r="D3715" s="25"/>
      <c r="E3715" s="25"/>
      <c r="F3715" s="25"/>
      <c r="G3715" s="25"/>
      <c r="H3715" s="25"/>
      <c r="I3715" s="25"/>
      <c r="O3715" t="e">
        <f>(O3713-3*O3712)/O3714</f>
        <v>#DIV/0!</v>
      </c>
    </row>
    <row r="3716" spans="1:16" ht="15.75" customHeight="1" x14ac:dyDescent="0.35">
      <c r="B3716" s="20" t="s">
        <v>250</v>
      </c>
      <c r="C3716" s="26">
        <v>0.1875</v>
      </c>
      <c r="D3716" s="26">
        <v>0.26041666666666669</v>
      </c>
      <c r="E3716" s="26">
        <v>0.33680555555555558</v>
      </c>
      <c r="F3716" s="26">
        <f>E3716+'Lookup Tables'!$N$1</f>
        <v>0.3576388888888889</v>
      </c>
      <c r="G3716" s="26">
        <f>F3716+'Lookup Tables'!$N$1</f>
        <v>0.37847222222222221</v>
      </c>
      <c r="H3716" s="26">
        <f>G3716+'Lookup Tables'!$N$1</f>
        <v>0.39930555555555552</v>
      </c>
      <c r="I3716" s="26">
        <f>H3716+'Lookup Tables'!$S$1</f>
        <v>0.40972222222222221</v>
      </c>
      <c r="N3716">
        <f>MAX(F3713:M3713)-O3716</f>
        <v>28</v>
      </c>
      <c r="O3716" t="str">
        <f>RIGHT(E3713,3)</f>
        <v>367</v>
      </c>
    </row>
    <row r="3717" spans="1:16" ht="15.75" customHeight="1" x14ac:dyDescent="0.35">
      <c r="B3717" s="20" t="s">
        <v>251</v>
      </c>
      <c r="C3717" s="27">
        <v>0.2</v>
      </c>
      <c r="D3717" s="27">
        <v>0.5</v>
      </c>
      <c r="E3717" s="27"/>
      <c r="F3717" s="27"/>
      <c r="G3717" s="27"/>
      <c r="H3717" s="25"/>
      <c r="I3717" s="27"/>
      <c r="N3717" t="str">
        <f xml:space="preserve">  N3716 &amp; " degrees this time"</f>
        <v>28 degrees this time</v>
      </c>
    </row>
    <row r="3718" spans="1:16" ht="15.75" customHeight="1" x14ac:dyDescent="0.35">
      <c r="B3718" s="20" t="s">
        <v>252</v>
      </c>
      <c r="C3718" s="27">
        <v>0.9</v>
      </c>
      <c r="D3718" s="27">
        <v>0.8</v>
      </c>
      <c r="E3718" s="27"/>
      <c r="F3718" s="27"/>
      <c r="G3718" s="27">
        <v>0.3</v>
      </c>
      <c r="H3718" s="27"/>
      <c r="I3718" s="27" t="s">
        <v>275</v>
      </c>
    </row>
    <row r="3719" spans="1:16" ht="15.75" customHeight="1" x14ac:dyDescent="0.35">
      <c r="B3719" s="20"/>
      <c r="C3719" s="30"/>
      <c r="D3719" s="11"/>
      <c r="E3719" s="1"/>
      <c r="F3719" s="11"/>
      <c r="G3719" s="11"/>
      <c r="H3719" s="11"/>
    </row>
    <row r="3720" spans="1:16" ht="15.75" customHeight="1" x14ac:dyDescent="0.35">
      <c r="B3720" s="38"/>
      <c r="D3720" s="11"/>
      <c r="E3720" s="11"/>
      <c r="F3720" s="11"/>
      <c r="G3720" s="1" t="s">
        <v>292</v>
      </c>
      <c r="K3720" s="9" t="s">
        <v>431</v>
      </c>
      <c r="L3720" s="9"/>
      <c r="M3720" s="9"/>
    </row>
    <row r="3721" spans="1:16" ht="15.75" customHeight="1" x14ac:dyDescent="0.35">
      <c r="B3721" s="20"/>
      <c r="G3721" s="1"/>
      <c r="H3721" s="1"/>
      <c r="K3721" s="9"/>
      <c r="L3721" s="9"/>
      <c r="M3721" s="9"/>
    </row>
    <row r="3722" spans="1:16" ht="15.75" customHeight="1" x14ac:dyDescent="0.35">
      <c r="B3722" s="20"/>
      <c r="G3722" s="1"/>
      <c r="H3722" s="1"/>
      <c r="K3722" s="9" t="s">
        <v>254</v>
      </c>
      <c r="L3722" s="9"/>
      <c r="M3722" s="9"/>
    </row>
    <row r="3723" spans="1:16" ht="15.75" customHeight="1" x14ac:dyDescent="0.35">
      <c r="B3723" s="9"/>
      <c r="C3723" s="9"/>
      <c r="D3723" s="9"/>
      <c r="E3723" s="9"/>
      <c r="F3723" s="12"/>
      <c r="G3723" s="12"/>
      <c r="H3723" s="12"/>
      <c r="I3723" s="12"/>
      <c r="J3723" s="12"/>
      <c r="K3723" s="12"/>
      <c r="L3723" s="1"/>
    </row>
    <row r="3724" spans="1:16" ht="15.75" customHeight="1" x14ac:dyDescent="0.35">
      <c r="B3724" s="13"/>
      <c r="C3724" s="13"/>
      <c r="D3724" s="15"/>
      <c r="G3724" s="16"/>
      <c r="H3724" s="14" t="s">
        <v>255</v>
      </c>
      <c r="I3724" s="14"/>
    </row>
    <row r="3725" spans="1:16" x14ac:dyDescent="0.35">
      <c r="B3725" s="13" t="s">
        <v>5</v>
      </c>
      <c r="C3725" s="13" t="s">
        <v>1</v>
      </c>
      <c r="D3725" s="15" t="str">
        <f>VLOOKUP(A3726,Inventory!$A$4:$K$1139,7)</f>
        <v>Royal coffee</v>
      </c>
      <c r="F3725" s="13" t="s">
        <v>235</v>
      </c>
      <c r="G3725" s="16"/>
      <c r="L3725" s="17"/>
      <c r="M3725" s="17"/>
    </row>
    <row r="3726" spans="1:16" x14ac:dyDescent="0.35">
      <c r="A3726">
        <v>141</v>
      </c>
      <c r="B3726" s="5">
        <v>44033</v>
      </c>
      <c r="C3726" s="15" t="str">
        <f>VLOOKUP(A3726,Inventory!$A$4:$K$1139,2)</f>
        <v>Yemen Al-Haymah Rooftop Raised Bed Natural 2017</v>
      </c>
      <c r="F3726" s="31" t="s">
        <v>291</v>
      </c>
      <c r="G3726" s="2" t="s">
        <v>286</v>
      </c>
      <c r="L3726" s="17"/>
      <c r="M3726" s="17"/>
      <c r="P3726" s="8"/>
    </row>
    <row r="3727" spans="1:16" x14ac:dyDescent="0.35">
      <c r="B3727" t="s">
        <v>16</v>
      </c>
      <c r="G3727" s="16"/>
      <c r="L3727" s="19"/>
      <c r="M3727" s="19"/>
    </row>
    <row r="3728" spans="1:16" x14ac:dyDescent="0.35">
      <c r="B3728" s="20"/>
      <c r="C3728" s="11" t="s">
        <v>240</v>
      </c>
      <c r="D3728" s="11" t="s">
        <v>272</v>
      </c>
      <c r="E3728" s="11" t="s">
        <v>461</v>
      </c>
      <c r="F3728" s="11">
        <v>390</v>
      </c>
      <c r="G3728" s="11">
        <v>397</v>
      </c>
      <c r="H3728" s="11">
        <v>400</v>
      </c>
      <c r="I3728" s="11">
        <v>404</v>
      </c>
      <c r="J3728" s="11"/>
      <c r="K3728" s="11"/>
      <c r="L3728" s="28"/>
    </row>
    <row r="3729" spans="1:16" ht="15.75" customHeight="1" x14ac:dyDescent="0.35">
      <c r="B3729" s="20" t="s">
        <v>242</v>
      </c>
      <c r="C3729" s="21"/>
      <c r="D3729" s="22" t="s">
        <v>294</v>
      </c>
      <c r="E3729" s="23" t="s">
        <v>244</v>
      </c>
      <c r="F3729" s="23" t="s">
        <v>245</v>
      </c>
      <c r="G3729" s="23" t="s">
        <v>246</v>
      </c>
      <c r="H3729" s="23" t="s">
        <v>273</v>
      </c>
      <c r="I3729" s="23" t="s">
        <v>247</v>
      </c>
      <c r="O3729" s="4"/>
    </row>
    <row r="3730" spans="1:16" ht="1" customHeight="1" x14ac:dyDescent="0.35">
      <c r="B3730" s="24" t="s">
        <v>249</v>
      </c>
      <c r="C3730" s="25">
        <v>320</v>
      </c>
      <c r="D3730" s="25">
        <v>350</v>
      </c>
      <c r="E3730" s="25"/>
      <c r="F3730" s="25"/>
      <c r="G3730" s="25"/>
      <c r="H3730" s="23" t="s">
        <v>247</v>
      </c>
      <c r="I3730" s="25"/>
      <c r="O3730" t="e">
        <f>(O3728-3*O3727)/O3729</f>
        <v>#DIV/0!</v>
      </c>
    </row>
    <row r="3731" spans="1:16" ht="15.75" customHeight="1" x14ac:dyDescent="0.35">
      <c r="B3731" s="20" t="s">
        <v>250</v>
      </c>
      <c r="C3731" s="26">
        <v>0.19097222222222221</v>
      </c>
      <c r="D3731" s="26">
        <v>0.27777777777777779</v>
      </c>
      <c r="E3731" s="26">
        <v>0.3888888888888889</v>
      </c>
      <c r="F3731" s="26">
        <f>E3731+'Lookup Tables'!$N$1</f>
        <v>0.40972222222222221</v>
      </c>
      <c r="G3731" s="26">
        <f>F3731+'Lookup Tables'!$N$1</f>
        <v>0.43055555555555552</v>
      </c>
      <c r="H3731" s="26">
        <f>G3731+'Lookup Tables'!$S$1</f>
        <v>0.44097222222222221</v>
      </c>
      <c r="I3731" s="26">
        <f>H3731+'Lookup Tables'!$S$1</f>
        <v>0.4513888888888889</v>
      </c>
      <c r="N3731">
        <f>MAX(F3728:M3728)-O3731</f>
        <v>22</v>
      </c>
      <c r="O3731" t="str">
        <f>RIGHT(E3728,3)</f>
        <v>382</v>
      </c>
    </row>
    <row r="3732" spans="1:16" ht="15.75" customHeight="1" x14ac:dyDescent="0.35">
      <c r="B3732" s="20" t="s">
        <v>251</v>
      </c>
      <c r="C3732" s="27">
        <v>0.2</v>
      </c>
      <c r="D3732" s="27">
        <v>0.5</v>
      </c>
      <c r="E3732" s="27"/>
      <c r="F3732" s="27"/>
      <c r="G3732" s="27">
        <v>0.25</v>
      </c>
      <c r="H3732" s="27"/>
      <c r="I3732" s="27"/>
      <c r="N3732" t="str">
        <f xml:space="preserve">  N3731 &amp; " degrees this time"</f>
        <v>22 degrees this time</v>
      </c>
    </row>
    <row r="3733" spans="1:16" ht="15.75" customHeight="1" x14ac:dyDescent="0.35">
      <c r="B3733" s="20" t="s">
        <v>252</v>
      </c>
      <c r="C3733" s="27">
        <v>0.9</v>
      </c>
      <c r="D3733" s="27">
        <v>0.7</v>
      </c>
      <c r="E3733" s="27">
        <v>0.6</v>
      </c>
      <c r="F3733" s="27"/>
      <c r="G3733" s="27"/>
      <c r="H3733" s="27"/>
      <c r="I3733" s="27" t="s">
        <v>275</v>
      </c>
    </row>
    <row r="3734" spans="1:16" ht="15.75" customHeight="1" x14ac:dyDescent="0.35">
      <c r="B3734" s="20"/>
      <c r="D3734" s="11"/>
      <c r="E3734" s="40"/>
      <c r="F3734" s="11"/>
      <c r="G3734" s="11"/>
      <c r="K3734" s="9" t="s">
        <v>377</v>
      </c>
      <c r="L3734" s="9"/>
    </row>
    <row r="3735" spans="1:16" ht="15.75" customHeight="1" x14ac:dyDescent="0.35">
      <c r="B3735" s="38"/>
      <c r="D3735" s="15"/>
      <c r="F3735" s="13"/>
      <c r="G3735" s="1" t="s">
        <v>296</v>
      </c>
      <c r="K3735" s="32"/>
      <c r="L3735" s="9"/>
      <c r="M3735" s="9"/>
    </row>
    <row r="3736" spans="1:16" ht="15.75" customHeight="1" x14ac:dyDescent="0.35">
      <c r="B3736" s="20"/>
      <c r="G3736" s="1"/>
      <c r="H3736" s="1"/>
      <c r="K3736" s="9"/>
      <c r="L3736" s="9"/>
      <c r="M3736" s="9"/>
    </row>
    <row r="3737" spans="1:16" ht="15.75" customHeight="1" x14ac:dyDescent="0.35">
      <c r="B3737" s="20"/>
      <c r="G3737" s="1"/>
      <c r="H3737" s="1"/>
      <c r="K3737" s="9" t="s">
        <v>297</v>
      </c>
      <c r="L3737" s="9"/>
      <c r="M3737" s="9"/>
    </row>
    <row r="3738" spans="1:16" ht="15.75" customHeight="1" x14ac:dyDescent="0.35">
      <c r="B3738" s="9"/>
      <c r="C3738" s="9"/>
      <c r="D3738" s="9"/>
      <c r="E3738" s="9"/>
      <c r="F3738" s="12"/>
      <c r="G3738" s="12"/>
      <c r="H3738" s="12"/>
      <c r="I3738" s="12"/>
      <c r="J3738" s="12"/>
      <c r="K3738" s="12"/>
      <c r="L3738" s="1"/>
    </row>
    <row r="3739" spans="1:16" ht="15.75" customHeight="1" x14ac:dyDescent="0.35">
      <c r="B3739" s="13"/>
      <c r="C3739" s="13"/>
      <c r="D3739" s="13"/>
      <c r="E3739" s="13"/>
      <c r="F3739" s="13"/>
      <c r="G3739" s="13"/>
      <c r="I3739" s="14"/>
    </row>
    <row r="3740" spans="1:16" x14ac:dyDescent="0.35">
      <c r="B3740" s="13" t="s">
        <v>5</v>
      </c>
      <c r="C3740" s="13" t="s">
        <v>1</v>
      </c>
      <c r="D3740" s="15" t="str">
        <f>VLOOKUP(A3741,Inventory!$A$4:$K$1139,7)</f>
        <v xml:space="preserve">GCBC                               </v>
      </c>
      <c r="F3740" s="13" t="s">
        <v>235</v>
      </c>
      <c r="G3740" s="16"/>
      <c r="H3740" s="14" t="s">
        <v>236</v>
      </c>
      <c r="L3740" s="17"/>
      <c r="M3740" s="17"/>
    </row>
    <row r="3741" spans="1:16" x14ac:dyDescent="0.35">
      <c r="A3741">
        <v>155</v>
      </c>
      <c r="B3741" s="5">
        <v>44031</v>
      </c>
      <c r="C3741" s="15" t="str">
        <f>VLOOKUP(A3741,Inventory!$A$4:$K$1139,2)</f>
        <v>Organic Ethiopian Sidamo 2019 WP Decaf</v>
      </c>
      <c r="F3741" s="18" t="s">
        <v>237</v>
      </c>
      <c r="G3741" s="2" t="s">
        <v>238</v>
      </c>
      <c r="L3741" s="17"/>
      <c r="M3741" s="17"/>
      <c r="P3741" s="8"/>
    </row>
    <row r="3742" spans="1:16" x14ac:dyDescent="0.35">
      <c r="J3742" s="1" t="s">
        <v>16</v>
      </c>
      <c r="L3742" s="19"/>
      <c r="M3742" s="19"/>
    </row>
    <row r="3743" spans="1:16" x14ac:dyDescent="0.35">
      <c r="C3743" s="11" t="s">
        <v>240</v>
      </c>
      <c r="D3743" s="11" t="s">
        <v>241</v>
      </c>
      <c r="E3743" s="11" t="s">
        <v>429</v>
      </c>
      <c r="F3743" s="11">
        <v>367</v>
      </c>
      <c r="G3743" s="11">
        <v>374</v>
      </c>
      <c r="H3743" s="11">
        <v>379</v>
      </c>
      <c r="I3743" s="11">
        <v>386</v>
      </c>
      <c r="J3743" s="11"/>
      <c r="K3743" s="11"/>
      <c r="L3743" s="11"/>
    </row>
    <row r="3744" spans="1:16" ht="15.75" customHeight="1" x14ac:dyDescent="0.35">
      <c r="B3744" s="20" t="s">
        <v>242</v>
      </c>
      <c r="C3744" s="30"/>
      <c r="D3744" s="22" t="s">
        <v>433</v>
      </c>
      <c r="E3744" s="23" t="s">
        <v>244</v>
      </c>
      <c r="F3744" s="23" t="s">
        <v>245</v>
      </c>
      <c r="G3744" s="23" t="s">
        <v>246</v>
      </c>
      <c r="H3744" s="23" t="s">
        <v>247</v>
      </c>
      <c r="I3744" s="23" t="s">
        <v>259</v>
      </c>
      <c r="J3744" s="23" t="s">
        <v>260</v>
      </c>
      <c r="K3744" s="23" t="s">
        <v>261</v>
      </c>
      <c r="O3744" s="4"/>
    </row>
    <row r="3745" spans="1:16" ht="1" customHeight="1" x14ac:dyDescent="0.35">
      <c r="B3745" s="24" t="s">
        <v>249</v>
      </c>
      <c r="C3745" s="25">
        <v>320</v>
      </c>
      <c r="D3745" s="25">
        <v>350</v>
      </c>
      <c r="E3745" s="25">
        <v>377</v>
      </c>
      <c r="F3745" s="25">
        <v>384</v>
      </c>
      <c r="G3745" s="25">
        <v>388</v>
      </c>
      <c r="H3745" s="25">
        <v>392</v>
      </c>
      <c r="I3745" s="25">
        <v>395</v>
      </c>
      <c r="J3745" s="25">
        <v>415</v>
      </c>
      <c r="K3745" s="25">
        <v>415</v>
      </c>
      <c r="O3745" t="e">
        <f>(O3743-3*O3742)/O3744</f>
        <v>#DIV/0!</v>
      </c>
    </row>
    <row r="3746" spans="1:16" ht="15.75" customHeight="1" x14ac:dyDescent="0.35">
      <c r="B3746" s="20" t="s">
        <v>250</v>
      </c>
      <c r="C3746" s="26">
        <v>0.23611111111111113</v>
      </c>
      <c r="D3746" s="26">
        <v>0.3125</v>
      </c>
      <c r="E3746" s="26">
        <v>0.38194444444444442</v>
      </c>
      <c r="F3746" s="26">
        <f>E3746+'Lookup Tables'!$N$1</f>
        <v>0.40277777777777773</v>
      </c>
      <c r="G3746" s="26">
        <f>F3746+'Lookup Tables'!$N$1</f>
        <v>0.42361111111111105</v>
      </c>
      <c r="H3746" s="26">
        <f>G3746+'Lookup Tables'!$N$1</f>
        <v>0.44444444444444436</v>
      </c>
      <c r="I3746" s="26">
        <f>H3746+'Lookup Tables'!$N$1</f>
        <v>0.46527777777777768</v>
      </c>
      <c r="J3746" s="26">
        <f>I3746+'Lookup Tables'!$M$1</f>
        <v>0.47569444444444436</v>
      </c>
      <c r="K3746" s="26">
        <f>J3746+'Lookup Tables'!$M$1</f>
        <v>0.48611111111111105</v>
      </c>
      <c r="N3746">
        <f>MAX(F3743:M3743)-O3746</f>
        <v>25</v>
      </c>
      <c r="O3746" t="str">
        <f>RIGHT(E3743,3)</f>
        <v>361</v>
      </c>
    </row>
    <row r="3747" spans="1:16" ht="15.75" customHeight="1" x14ac:dyDescent="0.35">
      <c r="B3747" s="20" t="s">
        <v>251</v>
      </c>
      <c r="C3747" s="27">
        <v>0.2</v>
      </c>
      <c r="D3747" s="27">
        <v>0.5</v>
      </c>
      <c r="E3747" s="27"/>
      <c r="F3747" s="27"/>
      <c r="G3747" s="27"/>
      <c r="H3747" s="27"/>
      <c r="I3747" s="27"/>
      <c r="J3747" s="27"/>
      <c r="K3747" s="27"/>
      <c r="N3747" t="str">
        <f xml:space="preserve">  N3746 &amp; " degrees this time"</f>
        <v>25 degrees this time</v>
      </c>
    </row>
    <row r="3748" spans="1:16" ht="15.75" customHeight="1" x14ac:dyDescent="0.35">
      <c r="B3748" s="20" t="s">
        <v>252</v>
      </c>
      <c r="C3748" s="27">
        <v>0.9</v>
      </c>
      <c r="D3748" s="27">
        <v>0.7</v>
      </c>
      <c r="E3748" s="27">
        <v>0.6</v>
      </c>
      <c r="F3748" s="27"/>
      <c r="G3748" s="27"/>
      <c r="H3748" s="27"/>
      <c r="I3748" s="27"/>
      <c r="J3748" s="27"/>
      <c r="K3748" s="27"/>
    </row>
    <row r="3749" spans="1:16" ht="15.75" customHeight="1" x14ac:dyDescent="0.35">
      <c r="B3749" s="20"/>
      <c r="D3749" s="11"/>
      <c r="E3749" s="11"/>
      <c r="F3749" s="28"/>
      <c r="H3749" s="1"/>
      <c r="I3749" s="1"/>
    </row>
    <row r="3750" spans="1:16" ht="15.75" customHeight="1" x14ac:dyDescent="0.35">
      <c r="G3750" s="1" t="s">
        <v>383</v>
      </c>
      <c r="K3750" s="9"/>
      <c r="L3750" s="9"/>
      <c r="M3750" s="9"/>
    </row>
    <row r="3751" spans="1:16" ht="15.75" customHeight="1" x14ac:dyDescent="0.35">
      <c r="B3751" s="20"/>
      <c r="G3751" s="1"/>
      <c r="H3751" s="1"/>
      <c r="K3751" s="9"/>
      <c r="L3751" s="9"/>
      <c r="M3751" s="9"/>
    </row>
    <row r="3752" spans="1:16" ht="15.75" customHeight="1" x14ac:dyDescent="0.35">
      <c r="B3752" s="20"/>
      <c r="G3752" s="1"/>
      <c r="H3752" s="1"/>
      <c r="K3752" s="9" t="s">
        <v>254</v>
      </c>
      <c r="L3752" s="9"/>
      <c r="M3752" s="9"/>
    </row>
    <row r="3753" spans="1:16" ht="15.75" customHeight="1" x14ac:dyDescent="0.35">
      <c r="B3753" s="9"/>
      <c r="C3753" s="9"/>
      <c r="D3753" s="9"/>
      <c r="E3753" s="9"/>
      <c r="F3753" s="12"/>
      <c r="G3753" s="12"/>
      <c r="H3753" s="12"/>
      <c r="I3753" s="12"/>
      <c r="J3753" s="12"/>
      <c r="K3753" s="12"/>
      <c r="L3753" s="1"/>
    </row>
    <row r="3754" spans="1:16" ht="15.75" customHeight="1" x14ac:dyDescent="0.35">
      <c r="B3754" s="13"/>
      <c r="C3754" s="13"/>
      <c r="D3754" s="15"/>
      <c r="H3754" s="14" t="s">
        <v>255</v>
      </c>
      <c r="I3754" s="14"/>
    </row>
    <row r="3755" spans="1:16" x14ac:dyDescent="0.35">
      <c r="B3755" s="13" t="s">
        <v>5</v>
      </c>
      <c r="C3755" s="13" t="s">
        <v>1</v>
      </c>
      <c r="D3755" s="15" t="str">
        <f>VLOOKUP(A3756,Inventory!$A$4:$K$1139,7)</f>
        <v xml:space="preserve">GCBC                               </v>
      </c>
      <c r="F3755" s="13" t="s">
        <v>235</v>
      </c>
      <c r="G3755" s="16"/>
      <c r="H3755" s="14" t="s">
        <v>256</v>
      </c>
      <c r="L3755" s="17"/>
      <c r="M3755" s="17"/>
    </row>
    <row r="3756" spans="1:16" x14ac:dyDescent="0.35">
      <c r="A3756">
        <v>155</v>
      </c>
      <c r="B3756" s="5">
        <v>44031</v>
      </c>
      <c r="C3756" s="15" t="str">
        <f>VLOOKUP(A3756,Inventory!$A$4:$K$1139,2)</f>
        <v>Organic Ethiopian Sidamo 2019 WP Decaf</v>
      </c>
      <c r="F3756" s="18" t="s">
        <v>257</v>
      </c>
      <c r="G3756" s="2" t="s">
        <v>238</v>
      </c>
      <c r="L3756" s="17"/>
      <c r="M3756" s="17"/>
      <c r="P3756" s="8"/>
    </row>
    <row r="3757" spans="1:16" x14ac:dyDescent="0.35">
      <c r="L3757" s="19"/>
      <c r="M3757" s="19"/>
    </row>
    <row r="3758" spans="1:16" x14ac:dyDescent="0.35">
      <c r="C3758" s="11" t="s">
        <v>240</v>
      </c>
      <c r="D3758" s="11" t="s">
        <v>241</v>
      </c>
      <c r="E3758" s="11" t="s">
        <v>426</v>
      </c>
      <c r="F3758" s="11">
        <v>375</v>
      </c>
      <c r="G3758" s="11">
        <v>381</v>
      </c>
      <c r="H3758" s="11">
        <v>387</v>
      </c>
      <c r="I3758" s="11">
        <v>393</v>
      </c>
      <c r="J3758" s="11"/>
      <c r="K3758" s="11"/>
      <c r="L3758" s="11"/>
    </row>
    <row r="3759" spans="1:16" ht="15.75" customHeight="1" x14ac:dyDescent="0.35">
      <c r="B3759" s="20" t="s">
        <v>242</v>
      </c>
      <c r="C3759" s="30"/>
      <c r="D3759" s="30"/>
      <c r="E3759" s="23" t="s">
        <v>244</v>
      </c>
      <c r="F3759" s="23" t="s">
        <v>245</v>
      </c>
      <c r="G3759" s="23" t="s">
        <v>246</v>
      </c>
      <c r="H3759" s="23" t="s">
        <v>247</v>
      </c>
      <c r="I3759" s="23" t="s">
        <v>259</v>
      </c>
      <c r="J3759" s="23" t="s">
        <v>260</v>
      </c>
      <c r="K3759" s="23" t="s">
        <v>261</v>
      </c>
      <c r="O3759" s="4"/>
    </row>
    <row r="3760" spans="1:16" ht="1" customHeight="1" x14ac:dyDescent="0.35">
      <c r="B3760" s="24" t="s">
        <v>249</v>
      </c>
      <c r="C3760" s="25">
        <v>320</v>
      </c>
      <c r="D3760" s="25">
        <v>350</v>
      </c>
      <c r="E3760" s="25">
        <v>377</v>
      </c>
      <c r="F3760" s="25">
        <v>384</v>
      </c>
      <c r="G3760" s="25">
        <v>388</v>
      </c>
      <c r="H3760" s="25">
        <v>392</v>
      </c>
      <c r="I3760" s="25">
        <v>395</v>
      </c>
      <c r="J3760" s="25">
        <v>415</v>
      </c>
      <c r="K3760" s="25">
        <v>415</v>
      </c>
      <c r="O3760" t="e">
        <f>(O3758-3*O3757)/O3759</f>
        <v>#DIV/0!</v>
      </c>
    </row>
    <row r="3761" spans="1:16" ht="15.75" customHeight="1" x14ac:dyDescent="0.35">
      <c r="B3761" s="20" t="s">
        <v>250</v>
      </c>
      <c r="C3761" s="26">
        <v>0.20833333333333334</v>
      </c>
      <c r="D3761" s="26">
        <v>0.28472222222222221</v>
      </c>
      <c r="E3761" s="26">
        <v>0.38194444444444442</v>
      </c>
      <c r="F3761" s="26">
        <f>E3761+'Lookup Tables'!$N$1</f>
        <v>0.40277777777777773</v>
      </c>
      <c r="G3761" s="26">
        <f>F3761+'Lookup Tables'!$N$1</f>
        <v>0.42361111111111105</v>
      </c>
      <c r="H3761" s="26">
        <f>G3761+'Lookup Tables'!$N$1</f>
        <v>0.44444444444444436</v>
      </c>
      <c r="I3761" s="26">
        <f>H3761+'Lookup Tables'!$N$1</f>
        <v>0.46527777777777768</v>
      </c>
      <c r="J3761" s="26">
        <f>I3761+'Lookup Tables'!$M$1</f>
        <v>0.47569444444444436</v>
      </c>
      <c r="K3761" s="26">
        <f>J3761+'Lookup Tables'!$M$1</f>
        <v>0.48611111111111105</v>
      </c>
      <c r="N3761">
        <f>MAX(F3758:M3758)-O3761</f>
        <v>23</v>
      </c>
      <c r="O3761" t="str">
        <f>RIGHT(E3758,3)</f>
        <v>370</v>
      </c>
    </row>
    <row r="3762" spans="1:16" ht="15.75" customHeight="1" x14ac:dyDescent="0.35">
      <c r="B3762" s="20" t="s">
        <v>251</v>
      </c>
      <c r="C3762" s="27">
        <v>0.2</v>
      </c>
      <c r="D3762" s="27">
        <v>0.5</v>
      </c>
      <c r="E3762" s="27"/>
      <c r="F3762" s="27"/>
      <c r="G3762" s="27"/>
      <c r="H3762" s="27"/>
      <c r="I3762" s="27"/>
      <c r="J3762" s="27"/>
      <c r="K3762" s="25"/>
      <c r="N3762" t="str">
        <f xml:space="preserve">  N3761 &amp; " degrees this time"</f>
        <v>23 degrees this time</v>
      </c>
    </row>
    <row r="3763" spans="1:16" ht="15.75" customHeight="1" x14ac:dyDescent="0.35">
      <c r="B3763" s="20" t="s">
        <v>252</v>
      </c>
      <c r="C3763" s="27">
        <v>0.9</v>
      </c>
      <c r="D3763" s="27">
        <v>0.7</v>
      </c>
      <c r="E3763" s="27">
        <v>0.6</v>
      </c>
      <c r="F3763" s="27"/>
      <c r="G3763" s="27"/>
      <c r="H3763" s="27"/>
      <c r="I3763" s="27"/>
      <c r="J3763" s="27"/>
      <c r="K3763" s="27"/>
    </row>
    <row r="3764" spans="1:16" ht="15.75" customHeight="1" x14ac:dyDescent="0.35">
      <c r="B3764" s="20"/>
      <c r="D3764" s="11"/>
      <c r="E3764" s="11"/>
      <c r="F3764" s="28"/>
      <c r="H3764" s="1"/>
    </row>
    <row r="3765" spans="1:16" ht="15.75" customHeight="1" x14ac:dyDescent="0.35">
      <c r="B3765" s="1" t="s">
        <v>385</v>
      </c>
      <c r="F3765" t="s">
        <v>263</v>
      </c>
      <c r="G3765" s="1"/>
      <c r="K3765" s="9"/>
      <c r="L3765" s="9"/>
      <c r="M3765" s="9"/>
    </row>
    <row r="3766" spans="1:16" ht="15.75" customHeight="1" x14ac:dyDescent="0.35">
      <c r="B3766" s="20" t="s">
        <v>264</v>
      </c>
      <c r="D3766" s="29"/>
      <c r="F3766" t="s">
        <v>265</v>
      </c>
      <c r="G3766" s="1"/>
      <c r="H3766" s="1"/>
      <c r="K3766" s="9" t="s">
        <v>386</v>
      </c>
      <c r="L3766" s="9"/>
      <c r="M3766" s="9"/>
    </row>
    <row r="3767" spans="1:16" ht="15.75" customHeight="1" x14ac:dyDescent="0.35">
      <c r="B3767" s="20" t="s">
        <v>267</v>
      </c>
      <c r="F3767" t="s">
        <v>268</v>
      </c>
      <c r="G3767" s="1"/>
      <c r="H3767" s="1"/>
      <c r="K3767" s="9" t="s">
        <v>254</v>
      </c>
      <c r="L3767" s="9"/>
      <c r="M3767" s="9"/>
    </row>
    <row r="3768" spans="1:16" ht="15.75" customHeight="1" x14ac:dyDescent="0.35">
      <c r="B3768" s="9"/>
      <c r="C3768" s="9"/>
      <c r="D3768" s="9"/>
      <c r="E3768" s="9"/>
      <c r="F3768" s="12"/>
      <c r="G3768" s="12"/>
      <c r="H3768" s="12"/>
      <c r="I3768" s="12"/>
      <c r="J3768" s="12"/>
      <c r="K3768" s="12"/>
      <c r="L3768" s="1"/>
    </row>
    <row r="3769" spans="1:16" ht="15.75" customHeight="1" x14ac:dyDescent="0.35">
      <c r="B3769" s="13"/>
      <c r="C3769" s="13"/>
      <c r="D3769" s="15"/>
    </row>
    <row r="3770" spans="1:16" x14ac:dyDescent="0.35">
      <c r="B3770" s="13" t="s">
        <v>5</v>
      </c>
      <c r="C3770" s="13" t="s">
        <v>1</v>
      </c>
      <c r="D3770" s="15" t="str">
        <f>VLOOKUP(A3771,Inventory!$A$4:$K$1139,7)</f>
        <v xml:space="preserve">GCBC                               </v>
      </c>
      <c r="F3770" s="13" t="s">
        <v>235</v>
      </c>
      <c r="G3770" s="16"/>
      <c r="L3770" s="17"/>
      <c r="M3770" s="17"/>
    </row>
    <row r="3771" spans="1:16" x14ac:dyDescent="0.35">
      <c r="A3771">
        <v>145</v>
      </c>
      <c r="B3771" s="5">
        <v>44019</v>
      </c>
      <c r="C3771" s="15" t="str">
        <f>VLOOKUP(A3771,Inventory!$A$4:$K$1139,2)</f>
        <v>Sumatra Harimau Tiger 2018</v>
      </c>
      <c r="E3771" s="11"/>
      <c r="F3771" s="34" t="s">
        <v>279</v>
      </c>
      <c r="G3771" s="2" t="s">
        <v>270</v>
      </c>
      <c r="J3771" s="8"/>
      <c r="L3771" s="17"/>
      <c r="M3771" s="17"/>
      <c r="P3771" s="8"/>
    </row>
    <row r="3772" spans="1:16" x14ac:dyDescent="0.35">
      <c r="B3772" s="13"/>
      <c r="C3772" s="13"/>
      <c r="D3772" s="11"/>
      <c r="F3772" s="13"/>
      <c r="G3772" s="16"/>
      <c r="K3772" s="1"/>
      <c r="L3772" s="19"/>
      <c r="M3772" s="19"/>
    </row>
    <row r="3773" spans="1:16" x14ac:dyDescent="0.35">
      <c r="B3773" s="20"/>
      <c r="C3773" s="11" t="s">
        <v>240</v>
      </c>
      <c r="D3773" s="11" t="s">
        <v>301</v>
      </c>
      <c r="E3773" s="11" t="s">
        <v>441</v>
      </c>
      <c r="F3773" s="11">
        <v>374</v>
      </c>
      <c r="G3773" s="11">
        <v>380</v>
      </c>
      <c r="H3773" s="11">
        <v>387</v>
      </c>
      <c r="I3773" s="11">
        <v>390</v>
      </c>
      <c r="J3773" s="11">
        <v>392</v>
      </c>
      <c r="K3773" s="11">
        <v>395</v>
      </c>
      <c r="L3773" s="11"/>
    </row>
    <row r="3774" spans="1:16" ht="15.75" customHeight="1" x14ac:dyDescent="0.35">
      <c r="B3774" s="20" t="s">
        <v>242</v>
      </c>
      <c r="C3774" s="21"/>
      <c r="D3774" s="22" t="s">
        <v>294</v>
      </c>
      <c r="E3774" s="23" t="s">
        <v>244</v>
      </c>
      <c r="F3774" s="23" t="s">
        <v>245</v>
      </c>
      <c r="G3774" s="23" t="s">
        <v>246</v>
      </c>
      <c r="H3774" s="23" t="s">
        <v>247</v>
      </c>
      <c r="I3774" s="23" t="s">
        <v>248</v>
      </c>
      <c r="J3774" s="23" t="s">
        <v>259</v>
      </c>
      <c r="K3774" s="23" t="s">
        <v>260</v>
      </c>
      <c r="O3774" s="4"/>
    </row>
    <row r="3775" spans="1:16" ht="1" customHeight="1" x14ac:dyDescent="0.35">
      <c r="B3775" s="24" t="s">
        <v>249</v>
      </c>
      <c r="C3775" s="25"/>
      <c r="D3775" s="25"/>
      <c r="E3775" s="25"/>
      <c r="F3775" s="25"/>
      <c r="G3775" s="25"/>
      <c r="H3775" s="25"/>
      <c r="I3775" s="25"/>
      <c r="J3775" s="25"/>
      <c r="K3775" s="25"/>
      <c r="O3775" t="e">
        <f>(O3773-3*O3772)/O3774</f>
        <v>#DIV/0!</v>
      </c>
    </row>
    <row r="3776" spans="1:16" ht="15.75" customHeight="1" x14ac:dyDescent="0.35">
      <c r="B3776" s="20" t="s">
        <v>250</v>
      </c>
      <c r="C3776" s="26">
        <v>0.23958333333333334</v>
      </c>
      <c r="D3776" s="26">
        <v>0.33333333333333331</v>
      </c>
      <c r="E3776" s="26">
        <v>0.40625</v>
      </c>
      <c r="F3776" s="26">
        <f>E3776+'Lookup Tables'!$N$1</f>
        <v>0.42708333333333331</v>
      </c>
      <c r="G3776" s="26">
        <f>F3776+'Lookup Tables'!$N$1</f>
        <v>0.44791666666666663</v>
      </c>
      <c r="H3776" s="26">
        <f>G3776+'Lookup Tables'!$N$1</f>
        <v>0.46874999999999994</v>
      </c>
      <c r="I3776" s="26">
        <f>H3776+'Lookup Tables'!$S$1</f>
        <v>0.47916666666666663</v>
      </c>
      <c r="J3776" s="26">
        <f>I3776+'Lookup Tables'!$S$1</f>
        <v>0.48958333333333331</v>
      </c>
      <c r="K3776" s="26">
        <f>J3776+'Lookup Tables'!$S$1</f>
        <v>0.5</v>
      </c>
      <c r="N3776">
        <f>MAX(F3773:M3773)-O3776</f>
        <v>26</v>
      </c>
      <c r="O3776" t="str">
        <f>RIGHT(E3773,3)</f>
        <v>369</v>
      </c>
    </row>
    <row r="3777" spans="1:16" ht="15.75" customHeight="1" x14ac:dyDescent="0.35">
      <c r="B3777" s="20" t="s">
        <v>251</v>
      </c>
      <c r="C3777" s="27">
        <v>0.2</v>
      </c>
      <c r="D3777" s="27">
        <v>0.5</v>
      </c>
      <c r="E3777" s="27"/>
      <c r="F3777" s="27"/>
      <c r="G3777" s="27"/>
      <c r="H3777" s="27"/>
      <c r="I3777" s="27"/>
      <c r="J3777" s="27"/>
      <c r="K3777" s="27"/>
      <c r="N3777" t="str">
        <f xml:space="preserve">  N3776 &amp; " degrees this time"</f>
        <v>26 degrees this time</v>
      </c>
    </row>
    <row r="3778" spans="1:16" ht="15.75" customHeight="1" x14ac:dyDescent="0.35">
      <c r="B3778" s="20" t="s">
        <v>252</v>
      </c>
      <c r="C3778" s="27">
        <v>0.9</v>
      </c>
      <c r="D3778" s="27">
        <v>0.7</v>
      </c>
      <c r="E3778" s="27">
        <v>0.4</v>
      </c>
      <c r="F3778" s="27" t="s">
        <v>274</v>
      </c>
      <c r="G3778" s="27"/>
      <c r="H3778" s="27"/>
      <c r="I3778" s="27"/>
      <c r="J3778" s="27"/>
      <c r="K3778" s="27"/>
    </row>
    <row r="3779" spans="1:16" ht="15.75" customHeight="1" x14ac:dyDescent="0.35">
      <c r="B3779" s="20"/>
      <c r="D3779" s="11"/>
      <c r="E3779" s="11"/>
      <c r="F3779" s="11"/>
      <c r="G3779" s="11"/>
      <c r="H3779" s="11"/>
      <c r="I3779" s="11"/>
      <c r="J3779" s="37"/>
      <c r="K3779" s="37"/>
      <c r="L3779" s="35"/>
    </row>
    <row r="3780" spans="1:16" ht="15.75" customHeight="1" x14ac:dyDescent="0.35">
      <c r="B3780" s="38"/>
      <c r="E3780" s="11"/>
      <c r="G3780" s="1" t="s">
        <v>317</v>
      </c>
      <c r="H3780" s="1"/>
      <c r="K3780" s="32"/>
      <c r="L3780" s="9"/>
      <c r="M3780" s="9"/>
    </row>
    <row r="3781" spans="1:16" ht="15.75" customHeight="1" x14ac:dyDescent="0.35">
      <c r="B3781" s="20"/>
      <c r="G3781" s="1"/>
      <c r="H3781" s="1"/>
      <c r="K3781" s="32"/>
      <c r="L3781" s="9"/>
      <c r="M3781" s="9"/>
    </row>
    <row r="3782" spans="1:16" ht="15.75" customHeight="1" x14ac:dyDescent="0.35">
      <c r="B3782" s="20"/>
      <c r="G3782" s="1"/>
      <c r="H3782" s="1"/>
      <c r="K3782" s="9" t="s">
        <v>300</v>
      </c>
      <c r="L3782" s="9"/>
      <c r="M3782" s="9"/>
    </row>
    <row r="3783" spans="1:16" ht="15.75" customHeight="1" x14ac:dyDescent="0.35">
      <c r="B3783" s="9"/>
      <c r="C3783" s="9"/>
      <c r="D3783" s="9"/>
      <c r="E3783" s="9"/>
      <c r="F3783" s="12"/>
      <c r="G3783" s="12"/>
      <c r="H3783" s="12"/>
      <c r="I3783" s="12"/>
      <c r="J3783" s="12"/>
      <c r="K3783" s="12"/>
      <c r="L3783" s="1"/>
    </row>
    <row r="3784" spans="1:16" ht="15.75" customHeight="1" x14ac:dyDescent="0.35">
      <c r="B3784" s="13"/>
      <c r="C3784" s="13"/>
      <c r="D3784" s="15"/>
      <c r="F3784" s="13"/>
      <c r="G3784" s="13"/>
      <c r="H3784" s="14"/>
      <c r="I3784" s="13"/>
      <c r="J3784" s="1"/>
    </row>
    <row r="3785" spans="1:16" x14ac:dyDescent="0.35">
      <c r="B3785" s="13" t="s">
        <v>5</v>
      </c>
      <c r="C3785" s="13" t="s">
        <v>1</v>
      </c>
      <c r="D3785" s="15" t="str">
        <f>VLOOKUP(A3786,Inventory!$A$4:$K$1139,7)</f>
        <v xml:space="preserve">GCBC                               </v>
      </c>
      <c r="F3785" s="13" t="s">
        <v>235</v>
      </c>
      <c r="G3785" s="16"/>
      <c r="L3785" s="17"/>
      <c r="M3785" s="17"/>
    </row>
    <row r="3786" spans="1:16" x14ac:dyDescent="0.35">
      <c r="A3786">
        <v>139</v>
      </c>
      <c r="B3786" s="5">
        <v>44019</v>
      </c>
      <c r="C3786" s="15" t="str">
        <f>VLOOKUP(A3786,Inventory!$A$4:$K$1139,2)</f>
        <v>Guatemala Huehuetenango El Injertal 2017</v>
      </c>
      <c r="E3786" s="11"/>
      <c r="F3786" s="34" t="s">
        <v>279</v>
      </c>
      <c r="G3786" s="2" t="s">
        <v>286</v>
      </c>
      <c r="L3786" s="17"/>
      <c r="M3786" s="17"/>
      <c r="P3786" s="8"/>
    </row>
    <row r="3787" spans="1:16" x14ac:dyDescent="0.35">
      <c r="B3787" s="13"/>
      <c r="C3787" s="13"/>
      <c r="D3787" s="11"/>
      <c r="F3787" s="13"/>
      <c r="G3787" s="16"/>
      <c r="I3787" s="1"/>
      <c r="L3787" s="19"/>
      <c r="M3787" s="19"/>
    </row>
    <row r="3788" spans="1:16" x14ac:dyDescent="0.35">
      <c r="B3788" s="20"/>
      <c r="C3788" s="11" t="s">
        <v>240</v>
      </c>
      <c r="D3788" s="11" t="s">
        <v>241</v>
      </c>
      <c r="E3788" s="11" t="s">
        <v>430</v>
      </c>
      <c r="F3788" s="11">
        <v>376</v>
      </c>
      <c r="G3788" s="11">
        <v>385</v>
      </c>
      <c r="H3788" s="11">
        <v>397</v>
      </c>
      <c r="I3788" s="11" t="s">
        <v>356</v>
      </c>
      <c r="J3788" s="11"/>
      <c r="K3788" s="11"/>
      <c r="L3788" s="11"/>
    </row>
    <row r="3789" spans="1:16" ht="15.75" customHeight="1" x14ac:dyDescent="0.35">
      <c r="B3789" s="20" t="s">
        <v>242</v>
      </c>
      <c r="C3789" s="30"/>
      <c r="D3789" s="30"/>
      <c r="E3789" s="23" t="s">
        <v>244</v>
      </c>
      <c r="F3789" s="23" t="s">
        <v>245</v>
      </c>
      <c r="G3789" s="23" t="s">
        <v>246</v>
      </c>
      <c r="H3789" s="23" t="s">
        <v>247</v>
      </c>
      <c r="I3789" s="23" t="s">
        <v>259</v>
      </c>
      <c r="O3789" s="4"/>
    </row>
    <row r="3790" spans="1:16" ht="1" customHeight="1" x14ac:dyDescent="0.35">
      <c r="B3790" s="24" t="s">
        <v>249</v>
      </c>
      <c r="C3790" s="25"/>
      <c r="D3790" s="25"/>
      <c r="E3790" s="25"/>
      <c r="F3790" s="25"/>
      <c r="G3790" s="25"/>
      <c r="H3790" s="25"/>
      <c r="I3790" s="25"/>
      <c r="O3790" t="e">
        <f>(O3788-3*O3787)/O3789</f>
        <v>#DIV/0!</v>
      </c>
    </row>
    <row r="3791" spans="1:16" ht="15.75" customHeight="1" x14ac:dyDescent="0.35">
      <c r="B3791" s="20" t="s">
        <v>250</v>
      </c>
      <c r="C3791" s="26">
        <v>0.21180555555555555</v>
      </c>
      <c r="D3791" s="26">
        <v>0.28819444444444448</v>
      </c>
      <c r="E3791" s="26">
        <v>0.36805555555555558</v>
      </c>
      <c r="F3791" s="26">
        <f>E3791+'Lookup Tables'!$N$1</f>
        <v>0.3888888888888889</v>
      </c>
      <c r="G3791" s="26">
        <f>F3791+'Lookup Tables'!$N$1</f>
        <v>0.40972222222222221</v>
      </c>
      <c r="H3791" s="26">
        <f>G3791+'Lookup Tables'!$N$1</f>
        <v>0.43055555555555552</v>
      </c>
      <c r="I3791" s="26">
        <f>H3791+'Lookup Tables'!$N$1</f>
        <v>0.45138888888888884</v>
      </c>
      <c r="N3791">
        <f>MAX(F3788:M3788)-O3791</f>
        <v>29</v>
      </c>
      <c r="O3791" t="str">
        <f>RIGHT(E3788,3)</f>
        <v>368</v>
      </c>
    </row>
    <row r="3792" spans="1:16" ht="15.75" customHeight="1" x14ac:dyDescent="0.35">
      <c r="B3792" s="20" t="s">
        <v>251</v>
      </c>
      <c r="C3792" s="27">
        <v>0.2</v>
      </c>
      <c r="D3792" s="27">
        <v>0.5</v>
      </c>
      <c r="E3792" s="27"/>
      <c r="F3792" s="27"/>
      <c r="G3792" s="27"/>
      <c r="H3792" s="27"/>
      <c r="I3792" s="27"/>
      <c r="N3792" t="str">
        <f xml:space="preserve">  N3791 &amp; " degrees this time"</f>
        <v>29 degrees this time</v>
      </c>
    </row>
    <row r="3793" spans="1:16" ht="15.75" customHeight="1" x14ac:dyDescent="0.35">
      <c r="B3793" s="20" t="s">
        <v>252</v>
      </c>
      <c r="C3793" s="27">
        <v>0.9</v>
      </c>
      <c r="D3793" s="27">
        <v>0.8</v>
      </c>
      <c r="E3793" s="27">
        <v>0.8</v>
      </c>
      <c r="F3793" s="27"/>
      <c r="G3793" s="27">
        <v>0.6</v>
      </c>
      <c r="H3793" s="27">
        <v>0.4</v>
      </c>
      <c r="I3793" s="27" t="s">
        <v>275</v>
      </c>
    </row>
    <row r="3794" spans="1:16" ht="15.75" customHeight="1" x14ac:dyDescent="0.35">
      <c r="B3794" s="20"/>
      <c r="D3794" s="11"/>
      <c r="E3794" s="11"/>
      <c r="F3794" s="11"/>
      <c r="G3794" s="40"/>
      <c r="H3794" s="11"/>
      <c r="I3794" s="11"/>
      <c r="J3794" s="37"/>
    </row>
    <row r="3795" spans="1:16" ht="15.75" customHeight="1" x14ac:dyDescent="0.35">
      <c r="B3795" s="38"/>
      <c r="G3795" s="1" t="s">
        <v>492</v>
      </c>
      <c r="H3795" s="1"/>
      <c r="K3795" s="9" t="s">
        <v>510</v>
      </c>
      <c r="L3795" s="9"/>
      <c r="M3795" s="9"/>
    </row>
    <row r="3796" spans="1:16" ht="15.75" customHeight="1" x14ac:dyDescent="0.35">
      <c r="B3796" s="20"/>
      <c r="G3796" s="1"/>
      <c r="H3796" s="1"/>
      <c r="K3796" s="32"/>
      <c r="L3796" s="9"/>
      <c r="M3796" s="9"/>
    </row>
    <row r="3797" spans="1:16" ht="15.75" customHeight="1" x14ac:dyDescent="0.35">
      <c r="B3797" s="20"/>
      <c r="G3797" s="1"/>
      <c r="H3797" s="1"/>
      <c r="K3797" s="9" t="s">
        <v>300</v>
      </c>
      <c r="L3797" s="9"/>
      <c r="M3797" s="9"/>
    </row>
    <row r="3798" spans="1:16" ht="15.75" customHeight="1" x14ac:dyDescent="0.35">
      <c r="B3798" s="9"/>
      <c r="C3798" s="9"/>
      <c r="D3798" s="9"/>
      <c r="E3798" s="9"/>
      <c r="F3798" s="12"/>
      <c r="G3798" s="12"/>
      <c r="H3798" s="12"/>
      <c r="I3798" s="12"/>
      <c r="J3798" s="12"/>
      <c r="K3798" s="12"/>
      <c r="L3798" s="1"/>
    </row>
    <row r="3799" spans="1:16" ht="15.75" customHeight="1" x14ac:dyDescent="0.35">
      <c r="B3799" s="13"/>
      <c r="C3799" s="13"/>
      <c r="D3799" s="13"/>
      <c r="E3799" s="13"/>
      <c r="F3799" s="13"/>
      <c r="G3799" s="13"/>
      <c r="H3799" s="14" t="s">
        <v>255</v>
      </c>
      <c r="I3799" s="13"/>
    </row>
    <row r="3800" spans="1:16" x14ac:dyDescent="0.35">
      <c r="B3800" s="13" t="s">
        <v>5</v>
      </c>
      <c r="C3800" s="13" t="s">
        <v>1</v>
      </c>
      <c r="D3800" s="15" t="str">
        <f>VLOOKUP(A3801,Inventory!$A$4:$K$1139,7)</f>
        <v>Leverhead Coffee</v>
      </c>
      <c r="F3800" s="13" t="s">
        <v>235</v>
      </c>
      <c r="G3800" s="16"/>
      <c r="L3800" s="17"/>
      <c r="M3800" s="17"/>
    </row>
    <row r="3801" spans="1:16" x14ac:dyDescent="0.35">
      <c r="A3801">
        <v>137</v>
      </c>
      <c r="B3801" s="5">
        <v>44019</v>
      </c>
      <c r="C3801" s="15" t="str">
        <f>VLOOKUP(A3801,Inventory!$A$4:$K$1139,2)</f>
        <v>Colombia Cauca 2017</v>
      </c>
      <c r="E3801" s="11"/>
      <c r="F3801" s="31" t="s">
        <v>291</v>
      </c>
      <c r="G3801" s="2" t="s">
        <v>286</v>
      </c>
      <c r="L3801" s="17"/>
      <c r="M3801" s="17"/>
      <c r="P3801" s="8"/>
    </row>
    <row r="3802" spans="1:16" x14ac:dyDescent="0.35">
      <c r="D3802" s="11"/>
      <c r="E3802" s="11"/>
      <c r="G3802" s="16"/>
      <c r="L3802" s="19"/>
      <c r="M3802" s="19"/>
    </row>
    <row r="3803" spans="1:16" x14ac:dyDescent="0.35">
      <c r="B3803" s="20"/>
      <c r="C3803" s="11" t="s">
        <v>240</v>
      </c>
      <c r="D3803" s="11" t="s">
        <v>272</v>
      </c>
      <c r="E3803" s="11" t="s">
        <v>319</v>
      </c>
      <c r="F3803" s="11">
        <v>380</v>
      </c>
      <c r="G3803" s="11">
        <v>387</v>
      </c>
      <c r="H3803" s="11">
        <v>393</v>
      </c>
      <c r="I3803" s="11">
        <v>397</v>
      </c>
      <c r="J3803" s="11"/>
      <c r="K3803" s="11"/>
      <c r="L3803" s="11"/>
    </row>
    <row r="3804" spans="1:16" ht="15.75" customHeight="1" x14ac:dyDescent="0.35">
      <c r="B3804" s="20" t="s">
        <v>242</v>
      </c>
      <c r="C3804" s="30"/>
      <c r="D3804" s="30"/>
      <c r="E3804" s="23" t="s">
        <v>244</v>
      </c>
      <c r="F3804" s="23" t="s">
        <v>245</v>
      </c>
      <c r="G3804" s="23" t="s">
        <v>246</v>
      </c>
      <c r="H3804" s="23" t="s">
        <v>247</v>
      </c>
      <c r="I3804" s="23" t="s">
        <v>248</v>
      </c>
      <c r="O3804" s="4"/>
    </row>
    <row r="3805" spans="1:16" ht="1" customHeight="1" x14ac:dyDescent="0.35">
      <c r="B3805" s="24" t="s">
        <v>249</v>
      </c>
      <c r="C3805" s="25"/>
      <c r="D3805" s="25"/>
      <c r="E3805" s="25"/>
      <c r="F3805" s="25"/>
      <c r="G3805" s="25"/>
      <c r="H3805" s="25"/>
      <c r="I3805" s="25"/>
      <c r="O3805" t="e">
        <f>(O3803-3*O3802)/O3804</f>
        <v>#DIV/0!</v>
      </c>
    </row>
    <row r="3806" spans="1:16" ht="15.75" customHeight="1" x14ac:dyDescent="0.35">
      <c r="B3806" s="20" t="s">
        <v>250</v>
      </c>
      <c r="C3806" s="26">
        <v>0.19097222222222221</v>
      </c>
      <c r="D3806" s="26">
        <v>0.27083333333333331</v>
      </c>
      <c r="E3806" s="26">
        <v>0.3611111111111111</v>
      </c>
      <c r="F3806" s="26">
        <f>E3806+'Lookup Tables'!$N$1</f>
        <v>0.38194444444444442</v>
      </c>
      <c r="G3806" s="26">
        <f>F3806+'Lookup Tables'!$N$1</f>
        <v>0.40277777777777773</v>
      </c>
      <c r="H3806" s="26">
        <f>G3806+'Lookup Tables'!$N$1</f>
        <v>0.42361111111111105</v>
      </c>
      <c r="I3806" s="26">
        <f>H3806+'Lookup Tables'!$S$1</f>
        <v>0.43402777777777773</v>
      </c>
      <c r="N3806">
        <f>MAX(F3803:M3803)-O3806</f>
        <v>24</v>
      </c>
      <c r="O3806" t="str">
        <f>RIGHT(E3803,3)</f>
        <v>373</v>
      </c>
    </row>
    <row r="3807" spans="1:16" ht="15.75" customHeight="1" x14ac:dyDescent="0.35">
      <c r="B3807" s="20" t="s">
        <v>251</v>
      </c>
      <c r="C3807" s="27">
        <v>0.2</v>
      </c>
      <c r="D3807" s="27">
        <v>0.5</v>
      </c>
      <c r="E3807" s="27"/>
      <c r="F3807" s="27"/>
      <c r="G3807" s="27"/>
      <c r="H3807" s="27"/>
      <c r="I3807" s="25"/>
      <c r="N3807" t="str">
        <f xml:space="preserve">  N3806 &amp; " degrees this time"</f>
        <v>24 degrees this time</v>
      </c>
    </row>
    <row r="3808" spans="1:16" ht="15.75" customHeight="1" x14ac:dyDescent="0.35">
      <c r="B3808" s="20" t="s">
        <v>252</v>
      </c>
      <c r="C3808" s="27">
        <v>0.9</v>
      </c>
      <c r="D3808" s="27">
        <v>0.8</v>
      </c>
      <c r="E3808" s="27">
        <v>0.7</v>
      </c>
      <c r="F3808" s="27"/>
      <c r="G3808" s="27"/>
      <c r="H3808" s="27"/>
      <c r="I3808" s="27" t="s">
        <v>275</v>
      </c>
    </row>
    <row r="3809" spans="1:16" ht="15.75" customHeight="1" x14ac:dyDescent="0.35">
      <c r="B3809" s="20"/>
      <c r="D3809" s="11"/>
      <c r="E3809" s="11"/>
      <c r="F3809" s="11"/>
      <c r="G3809" s="11"/>
      <c r="H3809" s="35"/>
    </row>
    <row r="3810" spans="1:16" ht="15.75" customHeight="1" x14ac:dyDescent="0.35">
      <c r="B3810" s="20"/>
      <c r="G3810" s="1" t="s">
        <v>331</v>
      </c>
      <c r="K3810" s="9" t="s">
        <v>511</v>
      </c>
      <c r="L3810" s="9"/>
      <c r="M3810" s="9"/>
    </row>
    <row r="3811" spans="1:16" ht="15.75" customHeight="1" x14ac:dyDescent="0.35">
      <c r="B3811" s="30"/>
      <c r="G3811" s="1"/>
      <c r="H3811" s="1"/>
      <c r="K3811" s="9"/>
      <c r="L3811" s="9"/>
      <c r="M3811" s="9"/>
    </row>
    <row r="3812" spans="1:16" ht="15.75" customHeight="1" x14ac:dyDescent="0.35">
      <c r="B3812" s="30"/>
      <c r="G3812" s="1"/>
      <c r="H3812" s="1"/>
      <c r="K3812" s="9" t="s">
        <v>300</v>
      </c>
      <c r="L3812" s="9"/>
      <c r="M3812" s="9"/>
    </row>
    <row r="3813" spans="1:16" ht="15.75" customHeight="1" x14ac:dyDescent="0.35">
      <c r="B3813" s="9"/>
      <c r="C3813" s="9"/>
      <c r="D3813" s="9"/>
      <c r="E3813" s="9"/>
      <c r="F3813" s="12"/>
      <c r="G3813" s="12"/>
      <c r="H3813" s="12"/>
      <c r="I3813" s="12"/>
      <c r="J3813" s="12"/>
      <c r="K3813" s="12"/>
      <c r="L3813" s="1"/>
    </row>
    <row r="3814" spans="1:16" ht="15.75" customHeight="1" x14ac:dyDescent="0.35">
      <c r="B3814" s="13"/>
      <c r="C3814" s="13"/>
      <c r="D3814" s="13"/>
      <c r="E3814" s="13"/>
      <c r="F3814" s="13"/>
      <c r="G3814" s="13"/>
      <c r="I3814" s="14"/>
    </row>
    <row r="3815" spans="1:16" x14ac:dyDescent="0.35">
      <c r="B3815" s="13" t="s">
        <v>5</v>
      </c>
      <c r="C3815" s="13" t="s">
        <v>1</v>
      </c>
      <c r="D3815" s="15" t="str">
        <f>VLOOKUP(A3816,Inventory!$A$4:$K$1139,7)</f>
        <v>Burman Coffee</v>
      </c>
      <c r="F3815" s="13" t="s">
        <v>235</v>
      </c>
      <c r="G3815" s="16"/>
      <c r="L3815" s="17"/>
      <c r="M3815" s="17"/>
    </row>
    <row r="3816" spans="1:16" x14ac:dyDescent="0.35">
      <c r="A3816">
        <v>136</v>
      </c>
      <c r="B3816" s="5">
        <v>44005</v>
      </c>
      <c r="C3816" s="15" t="str">
        <f>VLOOKUP(A3816,Inventory!$A$4:$K$1139,2)</f>
        <v>Indian Monsooned Malabar 2017</v>
      </c>
      <c r="F3816" s="18" t="s">
        <v>291</v>
      </c>
      <c r="G3816" s="2" t="s">
        <v>238</v>
      </c>
      <c r="L3816" s="17"/>
      <c r="M3816" s="17"/>
      <c r="P3816" s="8"/>
    </row>
    <row r="3817" spans="1:16" x14ac:dyDescent="0.35">
      <c r="I3817" s="9" t="s">
        <v>258</v>
      </c>
      <c r="L3817" s="19"/>
      <c r="M3817" s="19"/>
    </row>
    <row r="3818" spans="1:16" x14ac:dyDescent="0.35">
      <c r="B3818" s="20"/>
      <c r="C3818" s="11" t="s">
        <v>240</v>
      </c>
      <c r="D3818" s="11" t="s">
        <v>301</v>
      </c>
      <c r="E3818" s="11" t="s">
        <v>490</v>
      </c>
      <c r="F3818" s="11">
        <v>387</v>
      </c>
      <c r="G3818" s="11">
        <v>394</v>
      </c>
      <c r="H3818" s="11">
        <v>400</v>
      </c>
      <c r="I3818" s="11">
        <v>405</v>
      </c>
      <c r="J3818" s="11"/>
      <c r="K3818" s="11"/>
      <c r="L3818" s="11"/>
    </row>
    <row r="3819" spans="1:16" ht="15.75" customHeight="1" x14ac:dyDescent="0.35">
      <c r="B3819" s="20" t="s">
        <v>242</v>
      </c>
      <c r="C3819" s="30"/>
      <c r="D3819" s="30"/>
      <c r="E3819" s="23" t="s">
        <v>244</v>
      </c>
      <c r="F3819" s="23" t="s">
        <v>245</v>
      </c>
      <c r="G3819" s="23" t="s">
        <v>246</v>
      </c>
      <c r="H3819" s="23" t="s">
        <v>247</v>
      </c>
      <c r="I3819" s="23" t="s">
        <v>259</v>
      </c>
      <c r="J3819" s="23" t="s">
        <v>260</v>
      </c>
      <c r="K3819" s="23" t="s">
        <v>261</v>
      </c>
      <c r="L3819" s="23" t="s">
        <v>518</v>
      </c>
      <c r="O3819" s="4"/>
    </row>
    <row r="3820" spans="1:16" ht="1" customHeight="1" x14ac:dyDescent="0.35">
      <c r="B3820" s="24" t="s">
        <v>249</v>
      </c>
      <c r="C3820" s="25">
        <v>332</v>
      </c>
      <c r="D3820" s="25">
        <v>370</v>
      </c>
      <c r="E3820" s="25">
        <v>393</v>
      </c>
      <c r="F3820" s="25">
        <v>399</v>
      </c>
      <c r="G3820" s="25">
        <v>404</v>
      </c>
      <c r="H3820" s="25">
        <v>410</v>
      </c>
      <c r="I3820" s="25"/>
      <c r="J3820" s="25"/>
      <c r="K3820" s="25"/>
      <c r="L3820" s="25"/>
      <c r="O3820" t="e">
        <f>(O3818-3*O3817)/O3819</f>
        <v>#DIV/0!</v>
      </c>
    </row>
    <row r="3821" spans="1:16" ht="15.75" customHeight="1" x14ac:dyDescent="0.35">
      <c r="B3821" s="20" t="s">
        <v>250</v>
      </c>
      <c r="C3821" s="26">
        <v>0.20486111111111113</v>
      </c>
      <c r="D3821" s="26">
        <v>0.30208333333333331</v>
      </c>
      <c r="E3821" s="26">
        <v>0.3888888888888889</v>
      </c>
      <c r="F3821" s="26">
        <f>E3821+'Lookup Tables'!$N$1</f>
        <v>0.40972222222222221</v>
      </c>
      <c r="G3821" s="26">
        <f>F3821+'Lookup Tables'!$N$1</f>
        <v>0.43055555555555552</v>
      </c>
      <c r="H3821" s="26">
        <f>G3821+'Lookup Tables'!$N$1</f>
        <v>0.45138888888888884</v>
      </c>
      <c r="I3821" s="26">
        <f>H3821+'Lookup Tables'!$N$1</f>
        <v>0.47222222222222215</v>
      </c>
      <c r="J3821" s="26">
        <f>I3821+'Lookup Tables'!$S$1</f>
        <v>0.48263888888888884</v>
      </c>
      <c r="K3821" s="26">
        <f>J3821+'Lookup Tables'!$S$1</f>
        <v>0.49305555555555552</v>
      </c>
      <c r="L3821" s="26">
        <f>K3821+'Lookup Tables'!$S$1</f>
        <v>0.50347222222222221</v>
      </c>
      <c r="N3821">
        <f>MAX(F3818:M3818)-O3821</f>
        <v>25</v>
      </c>
      <c r="O3821" t="str">
        <f>RIGHT(E3818,3)</f>
        <v>380</v>
      </c>
    </row>
    <row r="3822" spans="1:16" ht="15.75" customHeight="1" x14ac:dyDescent="0.35">
      <c r="B3822" s="20" t="s">
        <v>251</v>
      </c>
      <c r="C3822" s="27">
        <v>0.2</v>
      </c>
      <c r="D3822" s="27">
        <v>0.5</v>
      </c>
      <c r="E3822" s="25"/>
      <c r="F3822" s="25"/>
      <c r="G3822" s="27" t="s">
        <v>274</v>
      </c>
      <c r="H3822" s="27"/>
      <c r="I3822" s="27"/>
      <c r="J3822" s="27"/>
      <c r="K3822" s="27"/>
      <c r="L3822" s="27"/>
      <c r="N3822" t="str">
        <f xml:space="preserve">  N3821 &amp; " degrees this time"</f>
        <v>25 degrees this time</v>
      </c>
    </row>
    <row r="3823" spans="1:16" ht="15.75" customHeight="1" x14ac:dyDescent="0.35">
      <c r="B3823" s="20" t="s">
        <v>252</v>
      </c>
      <c r="C3823" s="27">
        <v>0.9</v>
      </c>
      <c r="D3823" s="27">
        <v>0.5</v>
      </c>
      <c r="E3823" s="27">
        <v>0.3</v>
      </c>
      <c r="F3823" s="27"/>
      <c r="G3823" s="27" t="s">
        <v>274</v>
      </c>
      <c r="H3823" s="27"/>
      <c r="I3823" s="27"/>
      <c r="J3823" s="27"/>
      <c r="K3823" s="27"/>
      <c r="L3823" s="27"/>
    </row>
    <row r="3824" spans="1:16" ht="15.75" customHeight="1" x14ac:dyDescent="0.35">
      <c r="B3824" s="20"/>
      <c r="D3824" s="11"/>
      <c r="E3824" s="11"/>
      <c r="F3824" s="11"/>
      <c r="G3824" s="11"/>
      <c r="H3824" s="13"/>
    </row>
    <row r="3825" spans="1:16" ht="15.75" customHeight="1" x14ac:dyDescent="0.35">
      <c r="G3825" s="1" t="s">
        <v>347</v>
      </c>
      <c r="K3825" s="9"/>
      <c r="L3825" s="9"/>
      <c r="M3825" s="9"/>
    </row>
    <row r="3826" spans="1:16" ht="15.75" customHeight="1" x14ac:dyDescent="0.35">
      <c r="B3826" s="20" t="s">
        <v>519</v>
      </c>
      <c r="G3826" s="1"/>
      <c r="H3826" s="1"/>
      <c r="K3826" s="9"/>
      <c r="L3826" s="9"/>
      <c r="M3826" s="9"/>
    </row>
    <row r="3827" spans="1:16" ht="15.75" customHeight="1" x14ac:dyDescent="0.35">
      <c r="B3827" s="20"/>
      <c r="G3827" s="1"/>
      <c r="H3827" s="1"/>
      <c r="K3827" s="9" t="s">
        <v>254</v>
      </c>
      <c r="L3827" s="9"/>
      <c r="M3827" s="9"/>
    </row>
    <row r="3828" spans="1:16" ht="15.75" customHeight="1" x14ac:dyDescent="0.35">
      <c r="B3828" s="9"/>
      <c r="C3828" s="9"/>
      <c r="D3828" s="9"/>
      <c r="E3828" s="9"/>
      <c r="F3828" s="12"/>
      <c r="G3828" s="12"/>
      <c r="H3828" s="12"/>
      <c r="I3828" s="12"/>
      <c r="J3828" s="12"/>
      <c r="K3828" s="12"/>
      <c r="L3828" s="1"/>
    </row>
    <row r="3829" spans="1:16" ht="15.75" customHeight="1" x14ac:dyDescent="0.35">
      <c r="B3829" s="13"/>
      <c r="C3829" s="13"/>
      <c r="D3829" s="13"/>
      <c r="E3829" s="13"/>
      <c r="F3829" s="13"/>
      <c r="G3829" s="13"/>
      <c r="I3829" s="14"/>
    </row>
    <row r="3830" spans="1:16" x14ac:dyDescent="0.35">
      <c r="B3830" s="13" t="s">
        <v>5</v>
      </c>
      <c r="C3830" s="13" t="s">
        <v>1</v>
      </c>
      <c r="D3830" s="15" t="str">
        <f>VLOOKUP(A3831,Inventory!$A$4:$K$1139,7)</f>
        <v>Burman Coffee</v>
      </c>
      <c r="F3830" s="13" t="s">
        <v>235</v>
      </c>
      <c r="G3830" s="16"/>
      <c r="L3830" s="17"/>
      <c r="M3830" s="17"/>
    </row>
    <row r="3831" spans="1:16" x14ac:dyDescent="0.35">
      <c r="A3831">
        <v>136</v>
      </c>
      <c r="B3831" s="5">
        <v>44005</v>
      </c>
      <c r="C3831" s="15" t="str">
        <f>VLOOKUP(A3831,Inventory!$A$4:$K$1139,2)</f>
        <v>Indian Monsooned Malabar 2017</v>
      </c>
      <c r="F3831" s="18" t="s">
        <v>291</v>
      </c>
      <c r="G3831" s="2" t="s">
        <v>238</v>
      </c>
      <c r="L3831" s="17"/>
      <c r="M3831" s="17"/>
      <c r="P3831" s="8"/>
    </row>
    <row r="3832" spans="1:16" x14ac:dyDescent="0.35">
      <c r="I3832" s="9" t="s">
        <v>258</v>
      </c>
      <c r="L3832" s="19"/>
      <c r="M3832" s="19"/>
    </row>
    <row r="3833" spans="1:16" x14ac:dyDescent="0.35">
      <c r="B3833" s="20"/>
      <c r="C3833" s="11" t="s">
        <v>240</v>
      </c>
      <c r="D3833" s="11" t="s">
        <v>301</v>
      </c>
      <c r="E3833" s="11" t="s">
        <v>520</v>
      </c>
      <c r="F3833" s="11">
        <v>393</v>
      </c>
      <c r="G3833" s="11">
        <v>397</v>
      </c>
      <c r="H3833" s="11">
        <v>401</v>
      </c>
      <c r="I3833" s="11">
        <v>409</v>
      </c>
      <c r="J3833" s="11"/>
      <c r="K3833" s="11"/>
      <c r="L3833" s="11"/>
    </row>
    <row r="3834" spans="1:16" ht="15.75" customHeight="1" x14ac:dyDescent="0.35">
      <c r="B3834" s="20" t="s">
        <v>242</v>
      </c>
      <c r="C3834" s="30"/>
      <c r="D3834" s="30"/>
      <c r="E3834" s="23" t="s">
        <v>244</v>
      </c>
      <c r="F3834" s="23" t="s">
        <v>245</v>
      </c>
      <c r="G3834" s="23" t="s">
        <v>246</v>
      </c>
      <c r="H3834" s="23" t="s">
        <v>247</v>
      </c>
      <c r="I3834" s="23" t="s">
        <v>259</v>
      </c>
      <c r="J3834" s="23" t="s">
        <v>260</v>
      </c>
      <c r="K3834" s="23" t="s">
        <v>261</v>
      </c>
      <c r="L3834" s="23" t="s">
        <v>518</v>
      </c>
      <c r="O3834" s="4"/>
    </row>
    <row r="3835" spans="1:16" ht="1" customHeight="1" x14ac:dyDescent="0.35">
      <c r="B3835" s="24" t="s">
        <v>249</v>
      </c>
      <c r="C3835" s="25">
        <v>332</v>
      </c>
      <c r="D3835" s="25">
        <v>370</v>
      </c>
      <c r="E3835" s="25">
        <v>393</v>
      </c>
      <c r="F3835" s="25">
        <v>399</v>
      </c>
      <c r="G3835" s="25">
        <v>404</v>
      </c>
      <c r="H3835" s="25">
        <v>410</v>
      </c>
      <c r="I3835" s="25"/>
      <c r="J3835" s="25"/>
      <c r="K3835" s="25"/>
      <c r="L3835" s="25"/>
      <c r="O3835" t="e">
        <f>(O3833-3*O3832)/O3834</f>
        <v>#DIV/0!</v>
      </c>
    </row>
    <row r="3836" spans="1:16" ht="15.75" customHeight="1" x14ac:dyDescent="0.35">
      <c r="B3836" s="20" t="s">
        <v>250</v>
      </c>
      <c r="C3836" s="26">
        <v>0.23263888888888887</v>
      </c>
      <c r="D3836" s="26">
        <v>0.31944444444444448</v>
      </c>
      <c r="E3836" s="26">
        <v>0.42708333333333331</v>
      </c>
      <c r="F3836" s="26">
        <f>E3836+'Lookup Tables'!$N$1</f>
        <v>0.44791666666666663</v>
      </c>
      <c r="G3836" s="26">
        <f>F3836+'Lookup Tables'!$N$1</f>
        <v>0.46874999999999994</v>
      </c>
      <c r="H3836" s="26">
        <f>G3836+'Lookup Tables'!$N$1</f>
        <v>0.48958333333333326</v>
      </c>
      <c r="I3836" s="26">
        <f>H3836+'Lookup Tables'!$N$1</f>
        <v>0.51041666666666663</v>
      </c>
      <c r="J3836" s="26">
        <f>I3836+'Lookup Tables'!$S$1</f>
        <v>0.52083333333333326</v>
      </c>
      <c r="K3836" s="26">
        <f>J3836+'Lookup Tables'!$S$1</f>
        <v>0.53124999999999989</v>
      </c>
      <c r="L3836" s="26">
        <f>K3836+'Lookup Tables'!$S$1</f>
        <v>0.54166666666666652</v>
      </c>
      <c r="N3836">
        <f>MAX(F3833:M3833)-O3836</f>
        <v>24</v>
      </c>
      <c r="O3836" t="str">
        <f>RIGHT(E3833,3)</f>
        <v>385</v>
      </c>
    </row>
    <row r="3837" spans="1:16" ht="15.75" customHeight="1" x14ac:dyDescent="0.35">
      <c r="B3837" s="20" t="s">
        <v>251</v>
      </c>
      <c r="C3837" s="27">
        <v>0.2</v>
      </c>
      <c r="D3837" s="27">
        <v>0.5</v>
      </c>
      <c r="E3837" s="25"/>
      <c r="F3837" s="25"/>
      <c r="G3837" s="27" t="s">
        <v>274</v>
      </c>
      <c r="H3837" s="27"/>
      <c r="I3837" s="27"/>
      <c r="J3837" s="27"/>
      <c r="K3837" s="27"/>
      <c r="L3837" s="27"/>
      <c r="N3837" t="str">
        <f xml:space="preserve">  N3836 &amp; " degrees this time"</f>
        <v>24 degrees this time</v>
      </c>
    </row>
    <row r="3838" spans="1:16" ht="15.75" customHeight="1" x14ac:dyDescent="0.35">
      <c r="B3838" s="20" t="s">
        <v>252</v>
      </c>
      <c r="C3838" s="27">
        <v>0.9</v>
      </c>
      <c r="D3838" s="27">
        <v>0.5</v>
      </c>
      <c r="E3838" s="27">
        <v>0.3</v>
      </c>
      <c r="F3838" s="27"/>
      <c r="G3838" s="27" t="s">
        <v>274</v>
      </c>
      <c r="H3838" s="27"/>
      <c r="I3838" s="27"/>
      <c r="J3838" s="27"/>
      <c r="K3838" s="27"/>
      <c r="L3838" s="27"/>
    </row>
    <row r="3839" spans="1:16" ht="15.75" customHeight="1" x14ac:dyDescent="0.35">
      <c r="B3839" s="20"/>
      <c r="D3839" s="11"/>
      <c r="E3839" s="11"/>
      <c r="F3839" s="11"/>
      <c r="G3839" s="11"/>
      <c r="H3839" s="13"/>
    </row>
    <row r="3840" spans="1:16" ht="15.75" customHeight="1" x14ac:dyDescent="0.35">
      <c r="G3840" s="1" t="s">
        <v>347</v>
      </c>
      <c r="K3840" s="9"/>
      <c r="L3840" s="9"/>
      <c r="M3840" s="9"/>
    </row>
    <row r="3841" spans="1:16" ht="15.75" customHeight="1" x14ac:dyDescent="0.35">
      <c r="B3841" s="20"/>
      <c r="G3841" s="1"/>
      <c r="H3841" s="1"/>
      <c r="K3841" s="9"/>
      <c r="L3841" s="9"/>
      <c r="M3841" s="9"/>
    </row>
    <row r="3842" spans="1:16" ht="15.75" customHeight="1" x14ac:dyDescent="0.35">
      <c r="B3842" s="20"/>
      <c r="G3842" s="1"/>
      <c r="H3842" s="1"/>
      <c r="K3842" s="9" t="s">
        <v>254</v>
      </c>
      <c r="L3842" s="9"/>
      <c r="M3842" s="9"/>
    </row>
    <row r="3843" spans="1:16" ht="15.75" customHeight="1" x14ac:dyDescent="0.35">
      <c r="B3843" s="9"/>
      <c r="C3843" s="9"/>
      <c r="D3843" s="9"/>
      <c r="E3843" s="9"/>
      <c r="F3843" s="12"/>
      <c r="G3843" s="12"/>
      <c r="H3843" s="12"/>
      <c r="I3843" s="12"/>
      <c r="J3843" s="12"/>
      <c r="K3843" s="12"/>
      <c r="L3843" s="1"/>
    </row>
    <row r="3844" spans="1:16" ht="15.75" customHeight="1" x14ac:dyDescent="0.35">
      <c r="B3844" s="13"/>
      <c r="C3844" s="13"/>
      <c r="D3844" s="15"/>
      <c r="F3844" s="33" t="s">
        <v>326</v>
      </c>
      <c r="G3844" s="16"/>
      <c r="H3844" s="14" t="s">
        <v>255</v>
      </c>
    </row>
    <row r="3845" spans="1:16" x14ac:dyDescent="0.35">
      <c r="B3845" s="13" t="s">
        <v>5</v>
      </c>
      <c r="C3845" s="13" t="s">
        <v>1</v>
      </c>
      <c r="D3845" s="15" t="str">
        <f>VLOOKUP(A3846,Inventory!$A$4:$K$1139,7)</f>
        <v xml:space="preserve">GCBC                               </v>
      </c>
      <c r="F3845" s="13" t="s">
        <v>235</v>
      </c>
      <c r="G3845" s="16"/>
      <c r="L3845" s="17"/>
      <c r="M3845" s="17"/>
    </row>
    <row r="3846" spans="1:16" x14ac:dyDescent="0.35">
      <c r="A3846">
        <v>134</v>
      </c>
      <c r="B3846" s="5">
        <v>44005</v>
      </c>
      <c r="C3846" s="15" t="str">
        <f>VLOOKUP(A3846,Inventory!$A$4:$K$1139,2)</f>
        <v>Brazil Legender Estate Peaberry 2017</v>
      </c>
      <c r="F3846" s="18" t="s">
        <v>291</v>
      </c>
      <c r="G3846" s="2" t="s">
        <v>270</v>
      </c>
      <c r="I3846" s="9" t="s">
        <v>365</v>
      </c>
      <c r="L3846" s="17"/>
      <c r="M3846" s="17"/>
      <c r="P3846" s="8"/>
    </row>
    <row r="3847" spans="1:16" x14ac:dyDescent="0.35">
      <c r="B3847" s="13"/>
      <c r="C3847" s="13"/>
      <c r="D3847" s="15"/>
      <c r="E3847" s="15"/>
      <c r="F3847" s="15"/>
      <c r="G3847" s="15"/>
      <c r="L3847" s="19"/>
      <c r="M3847" s="19"/>
    </row>
    <row r="3848" spans="1:16" x14ac:dyDescent="0.35">
      <c r="B3848" s="20"/>
      <c r="C3848" s="11" t="s">
        <v>240</v>
      </c>
      <c r="D3848" s="11" t="s">
        <v>301</v>
      </c>
      <c r="E3848" s="11" t="s">
        <v>505</v>
      </c>
      <c r="F3848" s="11">
        <v>385</v>
      </c>
      <c r="G3848" s="11">
        <v>391</v>
      </c>
      <c r="H3848" s="11">
        <v>398</v>
      </c>
      <c r="I3848" s="11">
        <v>402</v>
      </c>
      <c r="J3848" s="11">
        <v>406</v>
      </c>
      <c r="K3848" s="11">
        <v>408</v>
      </c>
      <c r="L3848" s="11"/>
    </row>
    <row r="3849" spans="1:16" ht="15.75" customHeight="1" x14ac:dyDescent="0.35">
      <c r="B3849" s="20" t="s">
        <v>242</v>
      </c>
      <c r="C3849" s="21"/>
      <c r="D3849" s="22" t="s">
        <v>521</v>
      </c>
      <c r="E3849" s="23" t="s">
        <v>244</v>
      </c>
      <c r="F3849" s="23" t="s">
        <v>245</v>
      </c>
      <c r="G3849" s="23" t="s">
        <v>246</v>
      </c>
      <c r="H3849" s="23" t="s">
        <v>247</v>
      </c>
      <c r="I3849" s="23" t="s">
        <v>259</v>
      </c>
      <c r="J3849" s="23" t="s">
        <v>260</v>
      </c>
      <c r="K3849" s="23" t="s">
        <v>261</v>
      </c>
      <c r="O3849" s="4"/>
    </row>
    <row r="3850" spans="1:16" ht="1" customHeight="1" x14ac:dyDescent="0.35">
      <c r="B3850" s="24" t="s">
        <v>249</v>
      </c>
      <c r="C3850" s="25"/>
      <c r="D3850" s="25"/>
      <c r="E3850" s="25"/>
      <c r="F3850" s="25"/>
      <c r="G3850" s="25"/>
      <c r="H3850" s="25"/>
      <c r="I3850" s="25"/>
      <c r="O3850" t="e">
        <f>(O3848-3*O3847)/O3849</f>
        <v>#DIV/0!</v>
      </c>
    </row>
    <row r="3851" spans="1:16" ht="15.75" customHeight="1" x14ac:dyDescent="0.35">
      <c r="B3851" s="20" t="s">
        <v>250</v>
      </c>
      <c r="C3851" s="26">
        <v>0.19791666666666666</v>
      </c>
      <c r="D3851" s="26">
        <v>0.29166666666666669</v>
      </c>
      <c r="E3851" s="26">
        <v>0.3888888888888889</v>
      </c>
      <c r="F3851" s="26">
        <f>E3851+'Lookup Tables'!$N$1</f>
        <v>0.40972222222222221</v>
      </c>
      <c r="G3851" s="26">
        <f>F3851+'Lookup Tables'!$N$1</f>
        <v>0.43055555555555552</v>
      </c>
      <c r="H3851" s="26">
        <f>G3851+'Lookup Tables'!$N$1</f>
        <v>0.45138888888888884</v>
      </c>
      <c r="I3851" s="26">
        <f>H3851+'Lookup Tables'!$N$1</f>
        <v>0.47222222222222215</v>
      </c>
      <c r="J3851" s="26">
        <f>I3851+'Lookup Tables'!$M$1</f>
        <v>0.48263888888888884</v>
      </c>
      <c r="K3851" s="26">
        <f>J3851+'Lookup Tables'!$M$1</f>
        <v>0.49305555555555552</v>
      </c>
      <c r="N3851">
        <f>MAX(F3848:M3848)-O3851</f>
        <v>30</v>
      </c>
      <c r="O3851" t="str">
        <f>RIGHT(E3848,3)</f>
        <v>378</v>
      </c>
    </row>
    <row r="3852" spans="1:16" ht="15.75" customHeight="1" x14ac:dyDescent="0.35">
      <c r="B3852" s="20" t="s">
        <v>251</v>
      </c>
      <c r="C3852" s="27">
        <v>0.2</v>
      </c>
      <c r="D3852" s="27">
        <v>0.5</v>
      </c>
      <c r="E3852" s="27"/>
      <c r="F3852" s="27"/>
      <c r="G3852" s="25"/>
      <c r="H3852" s="25"/>
      <c r="I3852" s="25"/>
      <c r="J3852" s="27"/>
      <c r="K3852" s="27"/>
      <c r="N3852" t="str">
        <f xml:space="preserve">  N3851 &amp; " degrees this time"</f>
        <v>30 degrees this time</v>
      </c>
    </row>
    <row r="3853" spans="1:16" ht="15.75" customHeight="1" x14ac:dyDescent="0.35">
      <c r="B3853" s="20" t="s">
        <v>252</v>
      </c>
      <c r="C3853" s="27">
        <v>0.9</v>
      </c>
      <c r="D3853" s="27">
        <v>0.6</v>
      </c>
      <c r="E3853" s="27">
        <v>0.4</v>
      </c>
      <c r="F3853" s="27">
        <v>0.3</v>
      </c>
      <c r="G3853" s="27"/>
      <c r="H3853" s="25"/>
      <c r="I3853" s="27"/>
      <c r="J3853" s="27"/>
      <c r="K3853" s="27" t="s">
        <v>275</v>
      </c>
    </row>
    <row r="3854" spans="1:16" ht="15.75" customHeight="1" x14ac:dyDescent="0.35">
      <c r="B3854" s="20"/>
      <c r="D3854" s="11"/>
      <c r="E3854" s="11"/>
      <c r="F3854" s="11"/>
    </row>
    <row r="3855" spans="1:16" ht="15.75" customHeight="1" x14ac:dyDescent="0.35">
      <c r="G3855" s="1" t="s">
        <v>393</v>
      </c>
      <c r="H3855" s="1"/>
      <c r="K3855" s="9" t="s">
        <v>394</v>
      </c>
      <c r="L3855" s="9"/>
      <c r="M3855" s="9"/>
    </row>
    <row r="3856" spans="1:16" ht="15.75" customHeight="1" x14ac:dyDescent="0.35">
      <c r="B3856" s="20"/>
      <c r="G3856" s="1"/>
      <c r="H3856" s="1"/>
      <c r="K3856" s="9"/>
      <c r="L3856" s="9"/>
      <c r="M3856" s="9"/>
    </row>
    <row r="3857" spans="1:16" ht="15.75" customHeight="1" x14ac:dyDescent="0.35">
      <c r="B3857" s="20"/>
      <c r="G3857" s="1"/>
      <c r="H3857" s="1"/>
      <c r="K3857" s="9" t="s">
        <v>254</v>
      </c>
      <c r="L3857" s="9"/>
      <c r="M3857" s="9"/>
    </row>
    <row r="3858" spans="1:16" ht="15.75" customHeight="1" x14ac:dyDescent="0.35">
      <c r="B3858" s="9"/>
      <c r="C3858" s="9"/>
      <c r="D3858" s="9"/>
      <c r="E3858" s="9"/>
      <c r="F3858" s="12"/>
      <c r="G3858" s="12"/>
      <c r="H3858" s="12"/>
      <c r="I3858" s="12"/>
      <c r="J3858" s="12"/>
      <c r="K3858" s="12"/>
      <c r="L3858" s="1"/>
    </row>
    <row r="3859" spans="1:16" ht="15.75" customHeight="1" x14ac:dyDescent="0.35">
      <c r="B3859" s="13"/>
      <c r="C3859" s="13"/>
      <c r="D3859" s="15"/>
      <c r="G3859" s="16"/>
      <c r="H3859" s="14" t="s">
        <v>255</v>
      </c>
    </row>
    <row r="3860" spans="1:16" x14ac:dyDescent="0.35">
      <c r="B3860" s="13" t="s">
        <v>5</v>
      </c>
      <c r="C3860" s="13" t="s">
        <v>1</v>
      </c>
      <c r="D3860" s="15" t="str">
        <f>VLOOKUP(A3861,Inventory!$A$4:$K$1139,7)</f>
        <v xml:space="preserve">GCBC                               </v>
      </c>
      <c r="F3860" s="13" t="s">
        <v>235</v>
      </c>
      <c r="G3860" s="16"/>
      <c r="L3860" s="17"/>
      <c r="M3860" s="17"/>
    </row>
    <row r="3861" spans="1:16" x14ac:dyDescent="0.35">
      <c r="A3861">
        <v>147</v>
      </c>
      <c r="B3861" s="5">
        <v>44005</v>
      </c>
      <c r="C3861" s="15" t="str">
        <f>VLOOKUP(A3861,Inventory!$A$4:$K$1139,2)</f>
        <v>Brazil Legender Estate Pea-B 2018</v>
      </c>
      <c r="F3861" s="18" t="s">
        <v>291</v>
      </c>
      <c r="G3861" s="2" t="s">
        <v>270</v>
      </c>
      <c r="I3861" s="9" t="s">
        <v>365</v>
      </c>
      <c r="L3861" s="17"/>
      <c r="M3861" s="17"/>
      <c r="P3861" s="8"/>
    </row>
    <row r="3862" spans="1:16" x14ac:dyDescent="0.35">
      <c r="B3862" s="13"/>
      <c r="C3862" s="13"/>
      <c r="D3862" s="15"/>
      <c r="E3862" s="15"/>
      <c r="F3862" s="15"/>
      <c r="G3862" s="15"/>
      <c r="L3862" s="19"/>
      <c r="M3862" s="19"/>
    </row>
    <row r="3863" spans="1:16" x14ac:dyDescent="0.35">
      <c r="B3863" s="20"/>
      <c r="C3863" s="11" t="s">
        <v>240</v>
      </c>
      <c r="D3863" s="11" t="s">
        <v>301</v>
      </c>
      <c r="E3863" s="11" t="s">
        <v>505</v>
      </c>
      <c r="F3863" s="11">
        <v>385</v>
      </c>
      <c r="G3863" s="11">
        <v>393</v>
      </c>
      <c r="H3863" s="11">
        <v>399</v>
      </c>
      <c r="I3863" s="11">
        <v>404</v>
      </c>
      <c r="J3863" s="11">
        <v>408</v>
      </c>
      <c r="K3863" s="11"/>
      <c r="L3863" s="11"/>
    </row>
    <row r="3864" spans="1:16" ht="15.75" customHeight="1" x14ac:dyDescent="0.35">
      <c r="B3864" s="20" t="s">
        <v>242</v>
      </c>
      <c r="C3864" s="21"/>
      <c r="D3864" s="22" t="s">
        <v>521</v>
      </c>
      <c r="E3864" s="23" t="s">
        <v>244</v>
      </c>
      <c r="F3864" s="23" t="s">
        <v>245</v>
      </c>
      <c r="G3864" s="23" t="s">
        <v>246</v>
      </c>
      <c r="H3864" s="23" t="s">
        <v>247</v>
      </c>
      <c r="I3864" s="23" t="s">
        <v>259</v>
      </c>
      <c r="J3864" s="23" t="s">
        <v>260</v>
      </c>
      <c r="O3864" s="4"/>
    </row>
    <row r="3865" spans="1:16" ht="1" customHeight="1" x14ac:dyDescent="0.35">
      <c r="B3865" s="24" t="s">
        <v>249</v>
      </c>
      <c r="C3865" s="25"/>
      <c r="D3865" s="25"/>
      <c r="E3865" s="25"/>
      <c r="F3865" s="25"/>
      <c r="G3865" s="25"/>
      <c r="H3865" s="25"/>
      <c r="I3865" s="25"/>
      <c r="O3865" t="e">
        <f>(O3863-3*O3862)/O3864</f>
        <v>#DIV/0!</v>
      </c>
    </row>
    <row r="3866" spans="1:16" ht="15.75" customHeight="1" x14ac:dyDescent="0.35">
      <c r="B3866" s="20" t="s">
        <v>250</v>
      </c>
      <c r="C3866" s="26">
        <v>0.19791666666666666</v>
      </c>
      <c r="D3866" s="26">
        <v>0.2986111111111111</v>
      </c>
      <c r="E3866" s="26">
        <v>0.3888888888888889</v>
      </c>
      <c r="F3866" s="26">
        <f>E3866+'Lookup Tables'!$N$1</f>
        <v>0.40972222222222221</v>
      </c>
      <c r="G3866" s="26">
        <f>F3866+'Lookup Tables'!$N$1</f>
        <v>0.43055555555555552</v>
      </c>
      <c r="H3866" s="26">
        <f>G3866+'Lookup Tables'!$N$1</f>
        <v>0.45138888888888884</v>
      </c>
      <c r="I3866" s="26">
        <f>H3866+'Lookup Tables'!$N$1</f>
        <v>0.47222222222222215</v>
      </c>
      <c r="J3866" s="26">
        <f>I3866+'Lookup Tables'!$M$1</f>
        <v>0.48263888888888884</v>
      </c>
      <c r="N3866">
        <f>MAX(F3863:M3863)-O3866</f>
        <v>30</v>
      </c>
      <c r="O3866" t="str">
        <f>RIGHT(E3863,3)</f>
        <v>378</v>
      </c>
    </row>
    <row r="3867" spans="1:16" ht="15.75" customHeight="1" x14ac:dyDescent="0.35">
      <c r="B3867" s="20" t="s">
        <v>251</v>
      </c>
      <c r="C3867" s="27">
        <v>0.2</v>
      </c>
      <c r="D3867" s="27">
        <v>0.5</v>
      </c>
      <c r="E3867" s="27"/>
      <c r="F3867" s="27"/>
      <c r="G3867" s="25"/>
      <c r="H3867" s="25"/>
      <c r="I3867" s="25"/>
      <c r="J3867" s="27"/>
      <c r="N3867" t="str">
        <f xml:space="preserve">  N3866 &amp; " degrees this time"</f>
        <v>30 degrees this time</v>
      </c>
    </row>
    <row r="3868" spans="1:16" ht="15.75" customHeight="1" x14ac:dyDescent="0.35">
      <c r="B3868" s="20" t="s">
        <v>252</v>
      </c>
      <c r="C3868" s="27">
        <v>0.9</v>
      </c>
      <c r="D3868" s="27">
        <v>0.6</v>
      </c>
      <c r="E3868" s="27">
        <v>0.4</v>
      </c>
      <c r="F3868" s="27">
        <v>0.3</v>
      </c>
      <c r="G3868" s="27"/>
      <c r="H3868" s="25"/>
      <c r="I3868" s="27"/>
      <c r="J3868" s="27" t="s">
        <v>275</v>
      </c>
    </row>
    <row r="3869" spans="1:16" ht="15.75" customHeight="1" x14ac:dyDescent="0.35">
      <c r="B3869" s="20"/>
      <c r="D3869" s="11"/>
      <c r="E3869" s="11"/>
      <c r="F3869" s="11"/>
    </row>
    <row r="3870" spans="1:16" ht="15.75" customHeight="1" x14ac:dyDescent="0.35">
      <c r="G3870" s="1" t="s">
        <v>393</v>
      </c>
      <c r="H3870" s="1"/>
      <c r="K3870" s="9" t="s">
        <v>394</v>
      </c>
      <c r="L3870" s="9"/>
      <c r="M3870" s="9"/>
    </row>
    <row r="3871" spans="1:16" ht="15.75" customHeight="1" x14ac:dyDescent="0.35">
      <c r="B3871" s="20"/>
      <c r="G3871" s="1"/>
      <c r="H3871" s="1"/>
      <c r="K3871" s="9"/>
      <c r="L3871" s="9"/>
      <c r="M3871" s="9"/>
    </row>
    <row r="3872" spans="1:16" ht="15.75" customHeight="1" x14ac:dyDescent="0.35">
      <c r="B3872" s="20"/>
      <c r="G3872" s="1"/>
      <c r="H3872" s="1"/>
      <c r="K3872" s="9" t="s">
        <v>254</v>
      </c>
      <c r="L3872" s="9"/>
      <c r="M3872" s="9"/>
    </row>
    <row r="3873" spans="1:16" ht="15.75" customHeight="1" x14ac:dyDescent="0.35">
      <c r="B3873" s="9"/>
      <c r="C3873" s="9"/>
      <c r="D3873" s="9"/>
      <c r="E3873" s="9"/>
      <c r="F3873" s="12"/>
      <c r="G3873" s="12"/>
      <c r="H3873" s="12"/>
      <c r="I3873" s="12"/>
      <c r="J3873" s="12"/>
      <c r="K3873" s="12"/>
      <c r="L3873" s="1"/>
    </row>
    <row r="3874" spans="1:16" ht="15.75" customHeight="1" x14ac:dyDescent="0.35">
      <c r="B3874" s="13"/>
      <c r="C3874" s="13"/>
      <c r="D3874" s="13"/>
      <c r="E3874" s="13"/>
      <c r="F3874" s="13"/>
      <c r="G3874" s="13"/>
      <c r="H3874" s="13"/>
      <c r="I3874" s="13"/>
    </row>
    <row r="3875" spans="1:16" x14ac:dyDescent="0.35">
      <c r="B3875" s="13" t="s">
        <v>5</v>
      </c>
      <c r="C3875" s="13" t="s">
        <v>1</v>
      </c>
      <c r="D3875" s="15" t="str">
        <f>VLOOKUP(A3876,Inventory!$A$4:$K$1139,7)</f>
        <v>Coffee Bean corral</v>
      </c>
      <c r="F3875" s="13" t="s">
        <v>235</v>
      </c>
      <c r="G3875" s="16"/>
      <c r="L3875" s="17"/>
      <c r="M3875" s="17"/>
    </row>
    <row r="3876" spans="1:16" x14ac:dyDescent="0.35">
      <c r="A3876">
        <v>152</v>
      </c>
      <c r="B3876" s="5">
        <v>43996</v>
      </c>
      <c r="C3876" s="15" t="str">
        <f>VLOOKUP(A3876,Inventory!$A$4:$K$1139,2)</f>
        <v>Nicaragua Organic Jinotega Finca La Isabelia 2018</v>
      </c>
      <c r="E3876" s="11"/>
      <c r="F3876" s="34" t="s">
        <v>279</v>
      </c>
      <c r="G3876" s="2" t="s">
        <v>286</v>
      </c>
      <c r="L3876" s="17"/>
      <c r="M3876" s="17"/>
      <c r="P3876" s="8"/>
    </row>
    <row r="3877" spans="1:16" x14ac:dyDescent="0.35">
      <c r="D3877" s="11"/>
      <c r="E3877" s="11"/>
      <c r="G3877" s="16"/>
      <c r="L3877" s="19"/>
      <c r="M3877" s="19"/>
    </row>
    <row r="3878" spans="1:16" x14ac:dyDescent="0.35">
      <c r="B3878" s="20"/>
      <c r="C3878" s="11" t="s">
        <v>240</v>
      </c>
      <c r="D3878" s="11" t="s">
        <v>395</v>
      </c>
      <c r="E3878" s="11" t="s">
        <v>430</v>
      </c>
      <c r="F3878" s="11">
        <v>375</v>
      </c>
      <c r="G3878" s="11">
        <v>383</v>
      </c>
      <c r="H3878" s="11">
        <v>391</v>
      </c>
      <c r="I3878" s="11">
        <v>393</v>
      </c>
      <c r="J3878" s="11" t="s">
        <v>312</v>
      </c>
      <c r="K3878" s="28"/>
      <c r="L3878" s="28"/>
    </row>
    <row r="3879" spans="1:16" ht="15.75" customHeight="1" x14ac:dyDescent="0.35">
      <c r="B3879" s="20" t="s">
        <v>242</v>
      </c>
      <c r="C3879" s="21"/>
      <c r="D3879" s="22" t="s">
        <v>442</v>
      </c>
      <c r="E3879" s="23" t="s">
        <v>244</v>
      </c>
      <c r="F3879" s="23" t="s">
        <v>245</v>
      </c>
      <c r="G3879" s="23" t="s">
        <v>246</v>
      </c>
      <c r="H3879" s="23" t="s">
        <v>247</v>
      </c>
      <c r="I3879" s="23" t="s">
        <v>248</v>
      </c>
      <c r="J3879" s="23" t="s">
        <v>259</v>
      </c>
      <c r="O3879" s="4"/>
    </row>
    <row r="3880" spans="1:16" ht="1" customHeight="1" x14ac:dyDescent="0.35">
      <c r="B3880" s="24" t="s">
        <v>249</v>
      </c>
      <c r="C3880" s="25"/>
      <c r="D3880" s="25"/>
      <c r="E3880" s="25"/>
      <c r="F3880" s="25"/>
      <c r="G3880" s="25"/>
      <c r="H3880" s="25"/>
      <c r="I3880" s="25"/>
      <c r="J3880" s="25"/>
      <c r="O3880" t="e">
        <f>(O3878-3*O3877)/O3879</f>
        <v>#DIV/0!</v>
      </c>
    </row>
    <row r="3881" spans="1:16" ht="15.75" customHeight="1" x14ac:dyDescent="0.35">
      <c r="B3881" s="20" t="s">
        <v>250</v>
      </c>
      <c r="C3881" s="26">
        <v>0.21875</v>
      </c>
      <c r="D3881" s="26">
        <v>0.28819444444444448</v>
      </c>
      <c r="E3881" s="26">
        <v>0.38541666666666669</v>
      </c>
      <c r="F3881" s="26">
        <f>E3881+'Lookup Tables'!$N$1</f>
        <v>0.40625</v>
      </c>
      <c r="G3881" s="26">
        <f>F3881+'Lookup Tables'!$N$1</f>
        <v>0.42708333333333331</v>
      </c>
      <c r="H3881" s="26">
        <f>G3881+'Lookup Tables'!$S$1</f>
        <v>0.4375</v>
      </c>
      <c r="I3881" s="26">
        <f>H3881+'Lookup Tables'!$S$1</f>
        <v>0.44791666666666669</v>
      </c>
      <c r="J3881" s="26">
        <f>I3881+'Lookup Tables'!$N$1</f>
        <v>0.46875</v>
      </c>
      <c r="K3881" s="11"/>
      <c r="N3881">
        <f>MAX(F3878:M3878)-O3881</f>
        <v>25</v>
      </c>
      <c r="O3881" t="str">
        <f>RIGHT(E3878,3)</f>
        <v>368</v>
      </c>
    </row>
    <row r="3882" spans="1:16" ht="15.75" customHeight="1" x14ac:dyDescent="0.35">
      <c r="B3882" s="20" t="s">
        <v>251</v>
      </c>
      <c r="C3882" s="27">
        <v>0.2</v>
      </c>
      <c r="D3882" s="27">
        <v>0.5</v>
      </c>
      <c r="E3882" s="27"/>
      <c r="F3882" s="27"/>
      <c r="G3882" s="65" t="s">
        <v>274</v>
      </c>
      <c r="H3882" s="27"/>
      <c r="I3882" s="25"/>
      <c r="J3882" s="27"/>
      <c r="N3882" t="str">
        <f xml:space="preserve">  N3881 &amp; " degrees this time"</f>
        <v>25 degrees this time</v>
      </c>
    </row>
    <row r="3883" spans="1:16" ht="15.75" customHeight="1" x14ac:dyDescent="0.35">
      <c r="B3883" s="20" t="s">
        <v>252</v>
      </c>
      <c r="C3883" s="27">
        <v>0.9</v>
      </c>
      <c r="D3883" s="27">
        <v>0.7</v>
      </c>
      <c r="E3883" s="27">
        <v>0.6</v>
      </c>
      <c r="F3883" s="27"/>
      <c r="G3883" s="27"/>
      <c r="H3883" s="27"/>
      <c r="I3883" s="27"/>
      <c r="J3883" s="27" t="s">
        <v>275</v>
      </c>
    </row>
    <row r="3884" spans="1:16" ht="15.75" customHeight="1" x14ac:dyDescent="0.35">
      <c r="B3884" s="20"/>
      <c r="D3884" s="11"/>
      <c r="E3884" s="11"/>
      <c r="F3884" s="11"/>
      <c r="G3884" s="66" t="s">
        <v>522</v>
      </c>
      <c r="H3884" s="55"/>
    </row>
    <row r="3885" spans="1:16" ht="15.75" customHeight="1" x14ac:dyDescent="0.35">
      <c r="B3885" s="20"/>
      <c r="G3885" s="1" t="s">
        <v>496</v>
      </c>
      <c r="K3885" s="9" t="s">
        <v>523</v>
      </c>
      <c r="L3885" s="9"/>
      <c r="M3885" s="9"/>
    </row>
    <row r="3886" spans="1:16" ht="15.75" customHeight="1" x14ac:dyDescent="0.35">
      <c r="B3886" s="30"/>
      <c r="G3886" s="1"/>
      <c r="H3886" s="1"/>
      <c r="K3886" s="32"/>
      <c r="L3886" s="9"/>
      <c r="M3886" s="9"/>
    </row>
    <row r="3887" spans="1:16" ht="15.75" customHeight="1" x14ac:dyDescent="0.35">
      <c r="B3887" s="30"/>
      <c r="G3887" s="1"/>
      <c r="H3887" s="1"/>
      <c r="K3887" s="32" t="s">
        <v>254</v>
      </c>
      <c r="L3887" s="9"/>
      <c r="M3887" s="9"/>
    </row>
    <row r="3888" spans="1:16" ht="15.75" customHeight="1" x14ac:dyDescent="0.35">
      <c r="B3888" s="9"/>
      <c r="C3888" s="9"/>
      <c r="D3888" s="9"/>
      <c r="E3888" s="9"/>
      <c r="F3888" s="12"/>
      <c r="G3888" s="12"/>
      <c r="H3888" s="12"/>
      <c r="I3888" s="12"/>
      <c r="J3888" s="12"/>
      <c r="K3888" s="12"/>
      <c r="L3888" s="1"/>
    </row>
    <row r="3889" spans="1:16" ht="15.75" customHeight="1" x14ac:dyDescent="0.35">
      <c r="B3889" s="13"/>
      <c r="C3889" s="13"/>
      <c r="D3889" s="13"/>
      <c r="E3889" s="13"/>
      <c r="F3889" s="13"/>
      <c r="G3889" s="13"/>
      <c r="H3889" s="14" t="s">
        <v>255</v>
      </c>
      <c r="I3889" s="13"/>
    </row>
    <row r="3890" spans="1:16" x14ac:dyDescent="0.35">
      <c r="B3890" s="13" t="s">
        <v>5</v>
      </c>
      <c r="C3890" s="13" t="s">
        <v>1</v>
      </c>
      <c r="D3890" s="15" t="str">
        <f>VLOOKUP(A3891,Inventory!$A$4:$K$1139,7)</f>
        <v xml:space="preserve">Klatch                             </v>
      </c>
      <c r="F3890" s="13" t="s">
        <v>235</v>
      </c>
      <c r="G3890" s="16"/>
      <c r="L3890" s="17"/>
      <c r="M3890" s="17"/>
    </row>
    <row r="3891" spans="1:16" x14ac:dyDescent="0.35">
      <c r="A3891">
        <v>154</v>
      </c>
      <c r="B3891" s="5">
        <v>43996</v>
      </c>
      <c r="C3891" s="15" t="str">
        <f>VLOOKUP(A3891,Inventory!$A$4:$K$1139,2)</f>
        <v>Panama Elida Natural 2019</v>
      </c>
      <c r="F3891" s="31" t="s">
        <v>291</v>
      </c>
      <c r="G3891" s="2" t="s">
        <v>270</v>
      </c>
      <c r="L3891" s="17"/>
      <c r="M3891" s="17"/>
      <c r="P3891" s="8"/>
    </row>
    <row r="3892" spans="1:16" x14ac:dyDescent="0.35">
      <c r="F3892" s="13"/>
      <c r="G3892" s="16"/>
      <c r="L3892" s="19"/>
      <c r="M3892" s="19"/>
    </row>
    <row r="3893" spans="1:16" x14ac:dyDescent="0.35">
      <c r="B3893" s="20"/>
      <c r="C3893" s="11" t="s">
        <v>240</v>
      </c>
      <c r="D3893" s="11" t="s">
        <v>272</v>
      </c>
      <c r="E3893" s="11" t="s">
        <v>513</v>
      </c>
      <c r="F3893" s="11">
        <v>378</v>
      </c>
      <c r="G3893" s="11">
        <v>386</v>
      </c>
      <c r="H3893" s="11">
        <v>388</v>
      </c>
      <c r="I3893" s="11"/>
      <c r="J3893" s="11"/>
      <c r="K3893" s="28"/>
      <c r="L3893" s="28"/>
    </row>
    <row r="3894" spans="1:16" ht="15.75" customHeight="1" x14ac:dyDescent="0.35">
      <c r="B3894" s="20" t="s">
        <v>242</v>
      </c>
      <c r="C3894" s="30"/>
      <c r="D3894" s="30"/>
      <c r="E3894" s="23" t="s">
        <v>244</v>
      </c>
      <c r="F3894" s="23" t="s">
        <v>245</v>
      </c>
      <c r="G3894" s="23" t="s">
        <v>246</v>
      </c>
      <c r="H3894" s="23" t="s">
        <v>273</v>
      </c>
      <c r="O3894" s="4"/>
    </row>
    <row r="3895" spans="1:16" ht="1" customHeight="1" x14ac:dyDescent="0.35">
      <c r="B3895" s="24" t="s">
        <v>249</v>
      </c>
      <c r="C3895" s="25"/>
      <c r="D3895" s="25"/>
      <c r="E3895" s="25"/>
      <c r="F3895" s="25"/>
      <c r="G3895" s="25"/>
      <c r="H3895" s="25"/>
      <c r="O3895" t="e">
        <f>(O3893-3*O3892)/O3894</f>
        <v>#DIV/0!</v>
      </c>
    </row>
    <row r="3896" spans="1:16" ht="15.75" customHeight="1" x14ac:dyDescent="0.35">
      <c r="B3896" s="20" t="s">
        <v>250</v>
      </c>
      <c r="C3896" s="26">
        <v>0.19097222222222221</v>
      </c>
      <c r="D3896" s="26">
        <v>0.27777777777777779</v>
      </c>
      <c r="E3896" s="26">
        <v>0.3611111111111111</v>
      </c>
      <c r="F3896" s="26">
        <f>E3896+'Lookup Tables'!$N$1</f>
        <v>0.38194444444444442</v>
      </c>
      <c r="G3896" s="26">
        <f>F3896+'Lookup Tables'!$N$1</f>
        <v>0.40277777777777773</v>
      </c>
      <c r="H3896" s="26">
        <f>G3896+'Lookup Tables'!$S$1</f>
        <v>0.41319444444444442</v>
      </c>
      <c r="N3896">
        <f>MAX(F3893:M3893)-O3896</f>
        <v>17</v>
      </c>
      <c r="O3896" t="str">
        <f>RIGHT(E3893,3)</f>
        <v>371</v>
      </c>
    </row>
    <row r="3897" spans="1:16" ht="15.75" customHeight="1" x14ac:dyDescent="0.35">
      <c r="B3897" s="20" t="s">
        <v>251</v>
      </c>
      <c r="C3897" s="27">
        <v>0.2</v>
      </c>
      <c r="D3897" s="27">
        <v>0.5</v>
      </c>
      <c r="E3897" s="27">
        <v>0.5</v>
      </c>
      <c r="F3897" s="27" t="s">
        <v>274</v>
      </c>
      <c r="G3897" s="27"/>
      <c r="H3897" s="25"/>
      <c r="N3897" t="str">
        <f xml:space="preserve">  N3896 &amp; " degrees this time"</f>
        <v>17 degrees this time</v>
      </c>
    </row>
    <row r="3898" spans="1:16" ht="15.75" customHeight="1" x14ac:dyDescent="0.35">
      <c r="B3898" s="20" t="s">
        <v>252</v>
      </c>
      <c r="C3898" s="27">
        <v>0.9</v>
      </c>
      <c r="D3898" s="27">
        <v>0.7</v>
      </c>
      <c r="E3898" s="27">
        <v>0.6</v>
      </c>
      <c r="F3898" s="27" t="s">
        <v>274</v>
      </c>
      <c r="G3898" s="27"/>
      <c r="H3898" s="27" t="s">
        <v>275</v>
      </c>
    </row>
    <row r="3899" spans="1:16" ht="15.75" customHeight="1" x14ac:dyDescent="0.35">
      <c r="B3899" s="20"/>
      <c r="D3899" s="11"/>
      <c r="E3899" s="11"/>
      <c r="F3899" s="11"/>
    </row>
    <row r="3900" spans="1:16" ht="15.75" customHeight="1" x14ac:dyDescent="0.35">
      <c r="B3900" s="20"/>
      <c r="C3900" s="30"/>
      <c r="D3900" s="11"/>
      <c r="E3900" s="11"/>
      <c r="F3900" s="11"/>
      <c r="G3900" s="1" t="s">
        <v>276</v>
      </c>
      <c r="K3900" s="9" t="s">
        <v>498</v>
      </c>
      <c r="L3900" s="9"/>
      <c r="M3900" s="9"/>
    </row>
    <row r="3901" spans="1:16" ht="15.75" customHeight="1" x14ac:dyDescent="0.35">
      <c r="B3901" s="20"/>
      <c r="G3901" s="1"/>
      <c r="H3901" s="1"/>
      <c r="K3901" s="9"/>
      <c r="L3901" s="9"/>
      <c r="M3901" s="9"/>
    </row>
    <row r="3902" spans="1:16" ht="15.75" customHeight="1" x14ac:dyDescent="0.35">
      <c r="B3902" s="20"/>
      <c r="G3902" s="1"/>
      <c r="H3902" s="1"/>
      <c r="K3902" s="32" t="s">
        <v>277</v>
      </c>
      <c r="L3902" s="9"/>
      <c r="M3902" s="9"/>
    </row>
    <row r="3903" spans="1:16" ht="15.75" customHeight="1" x14ac:dyDescent="0.35">
      <c r="B3903" s="9"/>
      <c r="C3903" s="9"/>
      <c r="D3903" s="9"/>
      <c r="E3903" s="9"/>
      <c r="F3903" s="12"/>
      <c r="G3903" s="12"/>
      <c r="H3903" s="12"/>
      <c r="I3903" s="12"/>
      <c r="J3903" s="12"/>
      <c r="K3903" s="12"/>
      <c r="L3903" s="1"/>
    </row>
    <row r="3904" spans="1:16" ht="15.75" customHeight="1" x14ac:dyDescent="0.35">
      <c r="B3904" s="13"/>
      <c r="C3904" s="13"/>
      <c r="D3904" s="13"/>
      <c r="E3904" s="13"/>
      <c r="F3904" s="13"/>
      <c r="G3904" s="13"/>
      <c r="I3904" s="14"/>
    </row>
    <row r="3905" spans="1:16" x14ac:dyDescent="0.35">
      <c r="B3905" s="13" t="s">
        <v>5</v>
      </c>
      <c r="C3905" s="13" t="s">
        <v>1</v>
      </c>
      <c r="D3905" s="15" t="str">
        <f>VLOOKUP(A3906,Inventory!$A$4:$K$1139,7)</f>
        <v xml:space="preserve">GCBC                               </v>
      </c>
      <c r="F3905" s="13" t="s">
        <v>235</v>
      </c>
      <c r="G3905" s="16"/>
      <c r="L3905" s="17"/>
      <c r="M3905" s="17"/>
    </row>
    <row r="3906" spans="1:16" x14ac:dyDescent="0.35">
      <c r="A3906">
        <v>140</v>
      </c>
      <c r="B3906" s="5">
        <v>43996</v>
      </c>
      <c r="C3906" s="15" t="str">
        <f>VLOOKUP(A3906,Inventory!$A$4:$K$1139,2)</f>
        <v>El Salvador Finca Buenos Aires Natural 2017</v>
      </c>
      <c r="F3906" s="34" t="s">
        <v>279</v>
      </c>
      <c r="G3906" s="2" t="s">
        <v>270</v>
      </c>
      <c r="L3906" s="17"/>
      <c r="M3906" s="17"/>
      <c r="P3906" s="8"/>
    </row>
    <row r="3907" spans="1:16" x14ac:dyDescent="0.35">
      <c r="D3907" s="40"/>
      <c r="L3907" s="19"/>
      <c r="M3907" s="19"/>
    </row>
    <row r="3908" spans="1:16" x14ac:dyDescent="0.35">
      <c r="B3908" s="20"/>
      <c r="C3908" s="11" t="s">
        <v>240</v>
      </c>
      <c r="D3908" s="11" t="s">
        <v>272</v>
      </c>
      <c r="E3908" s="11" t="s">
        <v>450</v>
      </c>
      <c r="F3908" s="11">
        <v>385</v>
      </c>
      <c r="G3908" s="11">
        <v>396</v>
      </c>
      <c r="H3908" s="11">
        <v>403</v>
      </c>
      <c r="I3908" s="11" t="s">
        <v>313</v>
      </c>
      <c r="J3908" s="11"/>
      <c r="K3908" s="28"/>
      <c r="L3908" s="28"/>
    </row>
    <row r="3909" spans="1:16" ht="15.75" customHeight="1" x14ac:dyDescent="0.35">
      <c r="B3909" s="20" t="s">
        <v>242</v>
      </c>
      <c r="C3909" s="21"/>
      <c r="D3909" s="22" t="s">
        <v>294</v>
      </c>
      <c r="E3909" s="23" t="s">
        <v>244</v>
      </c>
      <c r="F3909" s="23" t="s">
        <v>245</v>
      </c>
      <c r="G3909" s="23" t="s">
        <v>246</v>
      </c>
      <c r="H3909" s="23" t="s">
        <v>247</v>
      </c>
      <c r="O3909" s="4"/>
    </row>
    <row r="3910" spans="1:16" ht="1" customHeight="1" x14ac:dyDescent="0.35">
      <c r="B3910" s="24" t="s">
        <v>249</v>
      </c>
      <c r="C3910" s="25"/>
      <c r="D3910" s="25"/>
      <c r="E3910" s="25">
        <v>384</v>
      </c>
      <c r="F3910" s="25">
        <v>392</v>
      </c>
      <c r="G3910" s="25">
        <v>395</v>
      </c>
      <c r="H3910" s="25"/>
      <c r="O3910" t="e">
        <f>(O3908-3*O3907)/O3909</f>
        <v>#DIV/0!</v>
      </c>
    </row>
    <row r="3911" spans="1:16" ht="15.75" customHeight="1" x14ac:dyDescent="0.35">
      <c r="B3911" s="20" t="s">
        <v>250</v>
      </c>
      <c r="C3911" s="26">
        <v>0.21875</v>
      </c>
      <c r="D3911" s="26">
        <v>0.30555555555555552</v>
      </c>
      <c r="E3911" s="26">
        <v>0.38541666666666669</v>
      </c>
      <c r="F3911" s="26">
        <f>E3911+'Lookup Tables'!$N$1</f>
        <v>0.40625</v>
      </c>
      <c r="G3911" s="26">
        <f>F3911+'Lookup Tables'!$N$1</f>
        <v>0.42708333333333331</v>
      </c>
      <c r="H3911" s="26">
        <f>G3911+'Lookup Tables'!$N$1</f>
        <v>0.44791666666666663</v>
      </c>
      <c r="N3911">
        <f>MAX(F3908:M3908)-O3911</f>
        <v>28</v>
      </c>
      <c r="O3911" t="str">
        <f>RIGHT(E3908,3)</f>
        <v>375</v>
      </c>
    </row>
    <row r="3912" spans="1:16" ht="15.75" customHeight="1" x14ac:dyDescent="0.35">
      <c r="B3912" s="20" t="s">
        <v>251</v>
      </c>
      <c r="C3912" s="27">
        <v>0.2</v>
      </c>
      <c r="D3912" s="27">
        <v>0.5</v>
      </c>
      <c r="E3912" s="27"/>
      <c r="F3912" s="27" t="s">
        <v>274</v>
      </c>
      <c r="G3912" s="27"/>
      <c r="H3912" s="27"/>
      <c r="N3912" t="str">
        <f xml:space="preserve">  N3911 &amp; " degrees this time"</f>
        <v>28 degrees this time</v>
      </c>
    </row>
    <row r="3913" spans="1:16" ht="15.75" customHeight="1" x14ac:dyDescent="0.35">
      <c r="B3913" s="20" t="s">
        <v>252</v>
      </c>
      <c r="C3913" s="27">
        <v>0.9</v>
      </c>
      <c r="D3913" s="27">
        <v>0.8</v>
      </c>
      <c r="E3913" s="65">
        <v>0.5</v>
      </c>
      <c r="F3913" s="65" t="s">
        <v>274</v>
      </c>
      <c r="G3913" s="27"/>
      <c r="H3913" s="27" t="s">
        <v>275</v>
      </c>
    </row>
    <row r="3914" spans="1:16" ht="15.75" customHeight="1" x14ac:dyDescent="0.35">
      <c r="B3914" s="20"/>
      <c r="C3914" s="30"/>
      <c r="E3914" s="66" t="s">
        <v>522</v>
      </c>
      <c r="F3914" s="40"/>
      <c r="H3914" s="13"/>
      <c r="I3914" s="13"/>
      <c r="J3914" s="35"/>
    </row>
    <row r="3915" spans="1:16" ht="15.75" customHeight="1" x14ac:dyDescent="0.35">
      <c r="C3915" s="30"/>
      <c r="G3915" s="1" t="s">
        <v>478</v>
      </c>
      <c r="K3915" s="9"/>
      <c r="L3915" s="9"/>
      <c r="M3915" s="9"/>
    </row>
    <row r="3916" spans="1:16" ht="15.75" customHeight="1" x14ac:dyDescent="0.35">
      <c r="B3916" s="20"/>
      <c r="G3916" s="1"/>
      <c r="H3916" s="1"/>
      <c r="K3916" s="9"/>
      <c r="L3916" s="9"/>
      <c r="M3916" s="9"/>
    </row>
    <row r="3917" spans="1:16" ht="15.75" customHeight="1" x14ac:dyDescent="0.35">
      <c r="B3917" s="20"/>
      <c r="G3917" s="1"/>
      <c r="H3917" s="1"/>
      <c r="K3917" s="32" t="s">
        <v>277</v>
      </c>
      <c r="L3917" s="9"/>
      <c r="M3917" s="9"/>
    </row>
    <row r="3918" spans="1:16" ht="15.75" customHeight="1" x14ac:dyDescent="0.35">
      <c r="B3918" s="9"/>
      <c r="C3918" s="9"/>
      <c r="D3918" s="9"/>
      <c r="E3918" s="9"/>
      <c r="F3918" s="12"/>
      <c r="G3918" s="12"/>
      <c r="H3918" s="12"/>
      <c r="I3918" s="12"/>
      <c r="J3918" s="12"/>
      <c r="K3918" s="12"/>
      <c r="L3918" s="1"/>
    </row>
    <row r="3919" spans="1:16" ht="15.75" customHeight="1" x14ac:dyDescent="0.35">
      <c r="B3919" s="13"/>
      <c r="C3919" s="13"/>
      <c r="D3919" s="15"/>
      <c r="G3919" s="16"/>
      <c r="H3919" s="14" t="s">
        <v>255</v>
      </c>
    </row>
    <row r="3920" spans="1:16" x14ac:dyDescent="0.35">
      <c r="B3920" s="13" t="s">
        <v>5</v>
      </c>
      <c r="C3920" s="13" t="s">
        <v>1</v>
      </c>
      <c r="D3920" s="15" t="str">
        <f>VLOOKUP(A3921,Inventory!$A$4:$K$1139,7)</f>
        <v>Leverhead Coffee</v>
      </c>
      <c r="F3920" s="13" t="s">
        <v>235</v>
      </c>
      <c r="G3920" s="16"/>
      <c r="L3920" s="17"/>
      <c r="M3920" s="17"/>
    </row>
    <row r="3921" spans="1:16" x14ac:dyDescent="0.35">
      <c r="A3921">
        <v>144</v>
      </c>
      <c r="B3921" s="5">
        <v>43996</v>
      </c>
      <c r="C3921" s="15" t="str">
        <f>VLOOKUP(A3921,Inventory!$A$4:$K$1139,2)</f>
        <v>Rwanda Abakundakawa 2018</v>
      </c>
      <c r="F3921" s="31" t="s">
        <v>291</v>
      </c>
      <c r="G3921" s="2" t="s">
        <v>270</v>
      </c>
      <c r="L3921" s="17"/>
      <c r="M3921" s="17"/>
      <c r="P3921" s="8"/>
    </row>
    <row r="3922" spans="1:16" x14ac:dyDescent="0.35">
      <c r="L3922" s="19"/>
      <c r="M3922" s="19"/>
    </row>
    <row r="3923" spans="1:16" x14ac:dyDescent="0.35">
      <c r="B3923" s="20"/>
      <c r="C3923" s="11" t="s">
        <v>240</v>
      </c>
      <c r="D3923" s="11" t="s">
        <v>272</v>
      </c>
      <c r="E3923" s="11" t="s">
        <v>450</v>
      </c>
      <c r="F3923" s="11">
        <v>381</v>
      </c>
      <c r="G3923" s="11">
        <v>388</v>
      </c>
      <c r="H3923" s="11">
        <v>393</v>
      </c>
      <c r="I3923" s="11">
        <v>400</v>
      </c>
      <c r="J3923" s="11">
        <v>402</v>
      </c>
      <c r="K3923" s="28" t="s">
        <v>486</v>
      </c>
      <c r="L3923" s="28"/>
    </row>
    <row r="3924" spans="1:16" ht="15.75" customHeight="1" x14ac:dyDescent="0.35">
      <c r="A3924" t="s">
        <v>16</v>
      </c>
      <c r="B3924" s="20" t="s">
        <v>242</v>
      </c>
      <c r="C3924" s="30"/>
      <c r="D3924" s="30"/>
      <c r="E3924" s="23" t="s">
        <v>244</v>
      </c>
      <c r="F3924" s="23" t="s">
        <v>245</v>
      </c>
      <c r="G3924" s="23" t="s">
        <v>246</v>
      </c>
      <c r="H3924" s="23" t="s">
        <v>247</v>
      </c>
      <c r="I3924" s="23" t="s">
        <v>259</v>
      </c>
      <c r="J3924" s="23" t="s">
        <v>260</v>
      </c>
      <c r="O3924" s="4"/>
    </row>
    <row r="3925" spans="1:16" ht="1" customHeight="1" x14ac:dyDescent="0.35">
      <c r="B3925" s="24" t="s">
        <v>249</v>
      </c>
      <c r="C3925" s="25"/>
      <c r="D3925" s="25"/>
      <c r="E3925" s="25">
        <v>388</v>
      </c>
      <c r="F3925" s="25">
        <v>393</v>
      </c>
      <c r="G3925" s="25">
        <v>397</v>
      </c>
      <c r="H3925" s="25">
        <v>401</v>
      </c>
      <c r="I3925" s="25"/>
      <c r="K3925" t="s">
        <v>280</v>
      </c>
      <c r="L3925" t="s">
        <v>280</v>
      </c>
      <c r="O3925" t="e">
        <f>(O3923-3*O3922)/O3924</f>
        <v>#DIV/0!</v>
      </c>
    </row>
    <row r="3926" spans="1:16" ht="15.75" customHeight="1" x14ac:dyDescent="0.35">
      <c r="B3926" s="20" t="s">
        <v>250</v>
      </c>
      <c r="C3926" s="26">
        <v>0.19444444444444445</v>
      </c>
      <c r="D3926" s="26">
        <v>0.27430555555555552</v>
      </c>
      <c r="E3926" s="26">
        <v>0.375</v>
      </c>
      <c r="F3926" s="26">
        <f>E3926+'Lookup Tables'!$N$1</f>
        <v>0.39583333333333331</v>
      </c>
      <c r="G3926" s="26">
        <f>F3926+'Lookup Tables'!$N$1</f>
        <v>0.41666666666666663</v>
      </c>
      <c r="H3926" s="26">
        <f>G3926+'Lookup Tables'!$N$1</f>
        <v>0.43749999999999994</v>
      </c>
      <c r="I3926" s="26">
        <f>H3926+'Lookup Tables'!$N$1</f>
        <v>0.45833333333333326</v>
      </c>
      <c r="J3926" s="26">
        <f>I3926+'Lookup Tables'!$M$1</f>
        <v>0.46874999999999994</v>
      </c>
      <c r="N3926">
        <f>MAX(F3923:M3923)-O3926</f>
        <v>27</v>
      </c>
      <c r="O3926" t="str">
        <f>RIGHT(E3923,3)</f>
        <v>375</v>
      </c>
    </row>
    <row r="3927" spans="1:16" ht="15.75" customHeight="1" x14ac:dyDescent="0.35">
      <c r="B3927" s="20" t="s">
        <v>251</v>
      </c>
      <c r="C3927" s="27">
        <v>0.2</v>
      </c>
      <c r="D3927" s="27">
        <v>0.5</v>
      </c>
      <c r="E3927" s="27"/>
      <c r="F3927" s="27"/>
      <c r="G3927" s="27" t="s">
        <v>274</v>
      </c>
      <c r="H3927" s="27"/>
      <c r="I3927" s="27"/>
      <c r="J3927" s="27"/>
      <c r="N3927" t="str">
        <f xml:space="preserve">  N3926 &amp; " degrees this time"</f>
        <v>27 degrees this time</v>
      </c>
    </row>
    <row r="3928" spans="1:16" ht="15.75" customHeight="1" x14ac:dyDescent="0.35">
      <c r="B3928" s="20" t="s">
        <v>252</v>
      </c>
      <c r="C3928" s="27">
        <v>0.9</v>
      </c>
      <c r="D3928" s="27">
        <v>0.8</v>
      </c>
      <c r="E3928" s="27">
        <v>0.5</v>
      </c>
      <c r="F3928" s="27">
        <v>0.3</v>
      </c>
      <c r="G3928" s="27" t="s">
        <v>274</v>
      </c>
      <c r="H3928" s="27"/>
      <c r="I3928" s="27"/>
      <c r="J3928" s="27" t="s">
        <v>275</v>
      </c>
    </row>
    <row r="3929" spans="1:16" ht="15.75" customHeight="1" x14ac:dyDescent="0.35">
      <c r="B3929" s="20"/>
      <c r="C3929" s="30"/>
      <c r="D3929" s="11"/>
      <c r="E3929" s="11"/>
      <c r="F3929" s="11"/>
      <c r="H3929" s="2"/>
      <c r="J3929" s="35"/>
      <c r="K3929" s="35"/>
    </row>
    <row r="3930" spans="1:16" ht="15.75" customHeight="1" x14ac:dyDescent="0.35">
      <c r="G3930" s="1" t="s">
        <v>418</v>
      </c>
      <c r="K3930" s="9" t="s">
        <v>524</v>
      </c>
      <c r="L3930" s="9"/>
      <c r="M3930" s="9"/>
    </row>
    <row r="3931" spans="1:16" ht="15.75" customHeight="1" x14ac:dyDescent="0.35">
      <c r="B3931" s="20"/>
      <c r="G3931" s="1"/>
      <c r="H3931" s="1"/>
      <c r="K3931" s="9"/>
      <c r="L3931" s="9"/>
      <c r="M3931" s="9"/>
    </row>
    <row r="3932" spans="1:16" ht="15.75" customHeight="1" x14ac:dyDescent="0.35">
      <c r="B3932" s="20"/>
      <c r="G3932" s="1"/>
      <c r="H3932" s="1"/>
      <c r="K3932" s="32" t="s">
        <v>254</v>
      </c>
      <c r="L3932" s="9"/>
      <c r="M3932" s="9"/>
    </row>
    <row r="3933" spans="1:16" ht="15.75" customHeight="1" x14ac:dyDescent="0.35">
      <c r="B3933" s="9"/>
      <c r="C3933" s="9"/>
      <c r="D3933" s="9"/>
      <c r="E3933" s="9"/>
      <c r="F3933" s="12"/>
      <c r="G3933" s="12"/>
      <c r="H3933" s="12"/>
      <c r="I3933" s="12"/>
      <c r="J3933" s="12"/>
      <c r="K3933" s="12"/>
      <c r="L3933" s="1"/>
    </row>
    <row r="3934" spans="1:16" ht="15.75" customHeight="1" x14ac:dyDescent="0.35">
      <c r="B3934" s="13"/>
      <c r="C3934" s="13"/>
      <c r="D3934" s="13"/>
      <c r="E3934" s="13"/>
      <c r="F3934" s="33" t="s">
        <v>350</v>
      </c>
      <c r="G3934" s="13"/>
      <c r="I3934" s="14"/>
    </row>
    <row r="3935" spans="1:16" x14ac:dyDescent="0.35">
      <c r="B3935" s="13" t="s">
        <v>5</v>
      </c>
      <c r="C3935" s="13" t="s">
        <v>1</v>
      </c>
      <c r="D3935" s="15" t="str">
        <f>VLOOKUP(A3936,Inventory!$A$4:$K$1139,7)</f>
        <v xml:space="preserve">Sweet Marias                       </v>
      </c>
      <c r="F3935" s="13" t="s">
        <v>235</v>
      </c>
      <c r="G3935" s="16"/>
      <c r="H3935" s="14" t="s">
        <v>236</v>
      </c>
      <c r="L3935" s="17"/>
      <c r="M3935" s="17"/>
    </row>
    <row r="3936" spans="1:16" x14ac:dyDescent="0.35">
      <c r="A3936">
        <v>156</v>
      </c>
      <c r="B3936" s="5">
        <v>43990</v>
      </c>
      <c r="C3936" s="15" t="str">
        <f>VLOOKUP(A3936,Inventory!$A$4:$K$1139,2)</f>
        <v>Rwanda Nyamasheke 2020 SWP Decaf</v>
      </c>
      <c r="F3936" s="18" t="s">
        <v>237</v>
      </c>
      <c r="G3936" s="2" t="s">
        <v>238</v>
      </c>
      <c r="L3936" s="17"/>
      <c r="M3936" s="17"/>
      <c r="P3936" s="8"/>
    </row>
    <row r="3937" spans="1:16" x14ac:dyDescent="0.35">
      <c r="J3937" s="1" t="s">
        <v>16</v>
      </c>
      <c r="L3937" s="19"/>
      <c r="M3937" s="19"/>
    </row>
    <row r="3938" spans="1:16" x14ac:dyDescent="0.35">
      <c r="C3938" s="11" t="s">
        <v>240</v>
      </c>
      <c r="D3938" s="11" t="s">
        <v>241</v>
      </c>
      <c r="E3938" s="11" t="s">
        <v>513</v>
      </c>
      <c r="F3938" s="11">
        <v>378</v>
      </c>
      <c r="G3938" s="11">
        <v>385</v>
      </c>
      <c r="H3938" s="11">
        <v>392</v>
      </c>
      <c r="I3938" s="11">
        <v>398</v>
      </c>
      <c r="J3938" s="11"/>
      <c r="K3938" s="11"/>
      <c r="L3938" s="11"/>
    </row>
    <row r="3939" spans="1:16" ht="15.75" customHeight="1" x14ac:dyDescent="0.35">
      <c r="B3939" s="20" t="s">
        <v>242</v>
      </c>
      <c r="C3939" s="30"/>
      <c r="D3939" s="22" t="s">
        <v>433</v>
      </c>
      <c r="E3939" s="23" t="s">
        <v>244</v>
      </c>
      <c r="F3939" s="23" t="s">
        <v>245</v>
      </c>
      <c r="G3939" s="23" t="s">
        <v>246</v>
      </c>
      <c r="H3939" s="23" t="s">
        <v>247</v>
      </c>
      <c r="I3939" s="23" t="s">
        <v>259</v>
      </c>
      <c r="J3939" s="23" t="s">
        <v>260</v>
      </c>
      <c r="O3939" s="4"/>
    </row>
    <row r="3940" spans="1:16" ht="1" customHeight="1" x14ac:dyDescent="0.35">
      <c r="B3940" s="24" t="s">
        <v>249</v>
      </c>
      <c r="C3940" s="25">
        <v>320</v>
      </c>
      <c r="D3940" s="25">
        <v>350</v>
      </c>
      <c r="E3940" s="25">
        <v>377</v>
      </c>
      <c r="F3940" s="25">
        <v>384</v>
      </c>
      <c r="G3940" s="25">
        <v>388</v>
      </c>
      <c r="H3940" s="25">
        <v>392</v>
      </c>
      <c r="I3940" s="25">
        <v>395</v>
      </c>
      <c r="J3940" s="25">
        <v>415</v>
      </c>
      <c r="O3940" t="e">
        <f>(O3938-3*O3937)/O3939</f>
        <v>#DIV/0!</v>
      </c>
    </row>
    <row r="3941" spans="1:16" ht="15.75" customHeight="1" x14ac:dyDescent="0.35">
      <c r="B3941" s="20" t="s">
        <v>250</v>
      </c>
      <c r="C3941" s="26">
        <v>0.25694444444444448</v>
      </c>
      <c r="D3941" s="26">
        <v>0.33680555555555558</v>
      </c>
      <c r="E3941" s="26">
        <v>0.44097222222222227</v>
      </c>
      <c r="F3941" s="26">
        <f>E3941+'Lookup Tables'!$N$1</f>
        <v>0.46180555555555558</v>
      </c>
      <c r="G3941" s="26">
        <f>F3941+'Lookup Tables'!$N$1</f>
        <v>0.4826388888888889</v>
      </c>
      <c r="H3941" s="26">
        <f>G3941+'Lookup Tables'!$N$1</f>
        <v>0.50347222222222221</v>
      </c>
      <c r="I3941" s="26">
        <f>H3941+'Lookup Tables'!$N$1</f>
        <v>0.52430555555555558</v>
      </c>
      <c r="J3941" s="26">
        <f>I3941+'Lookup Tables'!$M$1</f>
        <v>0.53472222222222221</v>
      </c>
      <c r="N3941">
        <f>MAX(F3938:M3938)-O3941</f>
        <v>27</v>
      </c>
      <c r="O3941" t="str">
        <f>RIGHT(E3938,3)</f>
        <v>371</v>
      </c>
    </row>
    <row r="3942" spans="1:16" ht="15.75" customHeight="1" x14ac:dyDescent="0.35">
      <c r="B3942" s="20" t="s">
        <v>251</v>
      </c>
      <c r="C3942" s="27">
        <v>0.2</v>
      </c>
      <c r="D3942" s="27">
        <v>0.5</v>
      </c>
      <c r="E3942" s="27"/>
      <c r="F3942" s="27"/>
      <c r="G3942" s="27"/>
      <c r="H3942" s="27"/>
      <c r="I3942" s="27"/>
      <c r="J3942" s="27"/>
      <c r="N3942" t="str">
        <f xml:space="preserve">  N3941 &amp; " degrees this time"</f>
        <v>27 degrees this time</v>
      </c>
    </row>
    <row r="3943" spans="1:16" ht="15.75" customHeight="1" x14ac:dyDescent="0.35">
      <c r="B3943" s="20" t="s">
        <v>252</v>
      </c>
      <c r="C3943" s="27">
        <v>0.9</v>
      </c>
      <c r="D3943" s="27">
        <v>0.7</v>
      </c>
      <c r="E3943" s="27">
        <v>0.6</v>
      </c>
      <c r="F3943" s="27"/>
      <c r="G3943" s="27"/>
      <c r="H3943" s="27"/>
      <c r="I3943" s="27"/>
      <c r="J3943" s="27"/>
    </row>
    <row r="3944" spans="1:16" ht="15.75" customHeight="1" x14ac:dyDescent="0.35">
      <c r="B3944" s="20"/>
      <c r="D3944" s="11"/>
      <c r="E3944" s="11"/>
      <c r="F3944" s="28"/>
      <c r="H3944" s="1"/>
      <c r="I3944" s="1"/>
    </row>
    <row r="3945" spans="1:16" ht="15.75" customHeight="1" x14ac:dyDescent="0.35">
      <c r="G3945" s="1" t="s">
        <v>383</v>
      </c>
      <c r="K3945" s="9"/>
      <c r="L3945" s="9"/>
      <c r="M3945" s="9"/>
    </row>
    <row r="3946" spans="1:16" ht="15.75" customHeight="1" x14ac:dyDescent="0.35">
      <c r="B3946" s="20"/>
      <c r="G3946" s="1"/>
      <c r="H3946" s="1"/>
      <c r="K3946" s="9"/>
      <c r="L3946" s="9"/>
      <c r="M3946" s="9"/>
    </row>
    <row r="3947" spans="1:16" ht="15.75" customHeight="1" x14ac:dyDescent="0.35">
      <c r="B3947" s="20"/>
      <c r="G3947" s="1"/>
      <c r="H3947" s="1"/>
      <c r="K3947" s="9" t="s">
        <v>254</v>
      </c>
      <c r="L3947" s="9"/>
      <c r="M3947" s="9"/>
    </row>
    <row r="3948" spans="1:16" ht="15.75" customHeight="1" x14ac:dyDescent="0.35">
      <c r="B3948" s="9"/>
      <c r="C3948" s="9"/>
      <c r="D3948" s="9"/>
      <c r="E3948" s="9"/>
      <c r="F3948" s="12"/>
      <c r="G3948" s="12"/>
      <c r="H3948" s="12"/>
      <c r="I3948" s="12"/>
      <c r="J3948" s="12"/>
      <c r="K3948" s="12"/>
      <c r="L3948" s="1"/>
    </row>
    <row r="3949" spans="1:16" ht="15.75" customHeight="1" x14ac:dyDescent="0.35">
      <c r="B3949" s="13"/>
      <c r="C3949" s="13"/>
      <c r="D3949" s="15"/>
      <c r="F3949" s="33" t="s">
        <v>350</v>
      </c>
      <c r="H3949" s="14" t="s">
        <v>255</v>
      </c>
      <c r="I3949" s="14"/>
    </row>
    <row r="3950" spans="1:16" x14ac:dyDescent="0.35">
      <c r="B3950" s="13" t="s">
        <v>5</v>
      </c>
      <c r="C3950" s="13" t="s">
        <v>1</v>
      </c>
      <c r="D3950" s="15" t="str">
        <f>VLOOKUP(A3951,Inventory!$A$4:$K$1139,7)</f>
        <v xml:space="preserve">Sweet Marias                       </v>
      </c>
      <c r="F3950" s="13" t="s">
        <v>235</v>
      </c>
      <c r="G3950" s="16"/>
      <c r="H3950" s="14" t="s">
        <v>256</v>
      </c>
      <c r="L3950" s="17"/>
      <c r="M3950" s="17"/>
    </row>
    <row r="3951" spans="1:16" x14ac:dyDescent="0.35">
      <c r="A3951">
        <v>156</v>
      </c>
      <c r="B3951" s="5">
        <v>43990</v>
      </c>
      <c r="C3951" s="15" t="str">
        <f>VLOOKUP(A3951,Inventory!$A$4:$K$1139,2)</f>
        <v>Rwanda Nyamasheke 2020 SWP Decaf</v>
      </c>
      <c r="F3951" s="18" t="s">
        <v>257</v>
      </c>
      <c r="G3951" s="2" t="s">
        <v>238</v>
      </c>
      <c r="L3951" s="17"/>
      <c r="M3951" s="17"/>
      <c r="P3951" s="8"/>
    </row>
    <row r="3952" spans="1:16" x14ac:dyDescent="0.35">
      <c r="K3952" s="12" t="s">
        <v>512</v>
      </c>
      <c r="L3952" s="54"/>
      <c r="M3952" s="19"/>
    </row>
    <row r="3953" spans="1:16" x14ac:dyDescent="0.35">
      <c r="C3953" s="11" t="s">
        <v>240</v>
      </c>
      <c r="D3953" s="11" t="s">
        <v>241</v>
      </c>
      <c r="E3953" s="11" t="s">
        <v>462</v>
      </c>
      <c r="F3953" s="11">
        <v>382</v>
      </c>
      <c r="G3953" s="11">
        <v>388</v>
      </c>
      <c r="H3953" s="11">
        <v>396</v>
      </c>
      <c r="I3953" s="11">
        <v>402</v>
      </c>
      <c r="J3953" s="11"/>
      <c r="K3953" s="11"/>
      <c r="L3953" s="11"/>
    </row>
    <row r="3954" spans="1:16" ht="15.75" customHeight="1" x14ac:dyDescent="0.35">
      <c r="B3954" s="20" t="s">
        <v>242</v>
      </c>
      <c r="C3954" s="30"/>
      <c r="D3954" s="30"/>
      <c r="E3954" s="23" t="s">
        <v>244</v>
      </c>
      <c r="F3954" s="23" t="s">
        <v>245</v>
      </c>
      <c r="G3954" s="23" t="s">
        <v>246</v>
      </c>
      <c r="H3954" s="23" t="s">
        <v>247</v>
      </c>
      <c r="I3954" s="23" t="s">
        <v>259</v>
      </c>
      <c r="J3954" s="23" t="s">
        <v>260</v>
      </c>
      <c r="K3954" s="23" t="s">
        <v>261</v>
      </c>
      <c r="O3954" s="4"/>
    </row>
    <row r="3955" spans="1:16" ht="1" customHeight="1" x14ac:dyDescent="0.35">
      <c r="B3955" s="24" t="s">
        <v>249</v>
      </c>
      <c r="C3955" s="25">
        <v>320</v>
      </c>
      <c r="D3955" s="25">
        <v>350</v>
      </c>
      <c r="E3955" s="25">
        <v>377</v>
      </c>
      <c r="F3955" s="25">
        <v>384</v>
      </c>
      <c r="G3955" s="25">
        <v>388</v>
      </c>
      <c r="H3955" s="25">
        <v>392</v>
      </c>
      <c r="I3955" s="25">
        <v>395</v>
      </c>
      <c r="J3955" s="25">
        <v>415</v>
      </c>
      <c r="K3955" s="25">
        <v>415</v>
      </c>
      <c r="O3955" t="e">
        <f>(O3953-3*O3952)/O3954</f>
        <v>#DIV/0!</v>
      </c>
    </row>
    <row r="3956" spans="1:16" ht="15.75" customHeight="1" x14ac:dyDescent="0.35">
      <c r="B3956" s="20" t="s">
        <v>250</v>
      </c>
      <c r="C3956" s="26">
        <v>0.22916666666666666</v>
      </c>
      <c r="D3956" s="26">
        <v>0.30902777777777779</v>
      </c>
      <c r="E3956" s="26">
        <v>0.43402777777777773</v>
      </c>
      <c r="F3956" s="26">
        <f>E3956+'Lookup Tables'!$N$1</f>
        <v>0.45486111111111105</v>
      </c>
      <c r="G3956" s="26">
        <f>F3956+'Lookup Tables'!$N$1</f>
        <v>0.47569444444444436</v>
      </c>
      <c r="H3956" s="26">
        <f>G3956+'Lookup Tables'!$N$1</f>
        <v>0.49652777777777768</v>
      </c>
      <c r="I3956" s="26">
        <f>H3956+'Lookup Tables'!$N$1</f>
        <v>0.51736111111111105</v>
      </c>
      <c r="J3956" s="26">
        <f>I3956+'Lookup Tables'!$M$1</f>
        <v>0.52777777777777768</v>
      </c>
      <c r="K3956" s="26">
        <f>J3956+'Lookup Tables'!$M$1</f>
        <v>0.53819444444444431</v>
      </c>
      <c r="N3956">
        <f>MAX(F3953:M3953)-O3956</f>
        <v>25</v>
      </c>
      <c r="O3956" t="str">
        <f>RIGHT(E3953,3)</f>
        <v>377</v>
      </c>
    </row>
    <row r="3957" spans="1:16" ht="15.75" customHeight="1" x14ac:dyDescent="0.35">
      <c r="B3957" s="20" t="s">
        <v>251</v>
      </c>
      <c r="C3957" s="27">
        <v>0.2</v>
      </c>
      <c r="D3957" s="27">
        <v>0.5</v>
      </c>
      <c r="E3957" s="27"/>
      <c r="F3957" s="27"/>
      <c r="G3957" s="27"/>
      <c r="H3957" s="27"/>
      <c r="I3957" s="27"/>
      <c r="J3957" s="27"/>
      <c r="K3957" s="25"/>
      <c r="N3957" t="str">
        <f xml:space="preserve">  N3956 &amp; " degrees this time"</f>
        <v>25 degrees this time</v>
      </c>
    </row>
    <row r="3958" spans="1:16" ht="15.75" customHeight="1" x14ac:dyDescent="0.35">
      <c r="B3958" s="20" t="s">
        <v>252</v>
      </c>
      <c r="C3958" s="27">
        <v>0.9</v>
      </c>
      <c r="D3958" s="27">
        <v>0.7</v>
      </c>
      <c r="E3958" s="27">
        <v>0.6</v>
      </c>
      <c r="F3958" s="27"/>
      <c r="G3958" s="27"/>
      <c r="H3958" s="27"/>
      <c r="I3958" s="27"/>
      <c r="J3958" s="27"/>
      <c r="K3958" s="27"/>
    </row>
    <row r="3959" spans="1:16" ht="15.75" customHeight="1" x14ac:dyDescent="0.35">
      <c r="B3959" s="20"/>
      <c r="D3959" s="11"/>
      <c r="E3959" s="11"/>
      <c r="F3959" s="28"/>
      <c r="H3959" s="1"/>
    </row>
    <row r="3960" spans="1:16" ht="15.75" customHeight="1" x14ac:dyDescent="0.35">
      <c r="B3960" s="1" t="s">
        <v>385</v>
      </c>
      <c r="F3960" t="s">
        <v>263</v>
      </c>
      <c r="G3960" s="1"/>
      <c r="K3960" s="9"/>
      <c r="L3960" s="9"/>
      <c r="M3960" s="9"/>
    </row>
    <row r="3961" spans="1:16" ht="15.75" customHeight="1" x14ac:dyDescent="0.35">
      <c r="B3961" s="20" t="s">
        <v>264</v>
      </c>
      <c r="D3961" s="29"/>
      <c r="F3961" t="s">
        <v>265</v>
      </c>
      <c r="G3961" s="1"/>
      <c r="H3961" s="1"/>
      <c r="K3961" s="9" t="s">
        <v>386</v>
      </c>
      <c r="L3961" s="9"/>
      <c r="M3961" s="9"/>
    </row>
    <row r="3962" spans="1:16" ht="15.75" customHeight="1" x14ac:dyDescent="0.35">
      <c r="B3962" s="20" t="s">
        <v>267</v>
      </c>
      <c r="F3962" t="s">
        <v>268</v>
      </c>
      <c r="G3962" s="1"/>
      <c r="H3962" s="1"/>
      <c r="K3962" s="9" t="s">
        <v>254</v>
      </c>
      <c r="L3962" s="9"/>
      <c r="M3962" s="9"/>
    </row>
    <row r="3963" spans="1:16" ht="15.75" customHeight="1" x14ac:dyDescent="0.35">
      <c r="B3963" s="9"/>
      <c r="C3963" s="9"/>
      <c r="D3963" s="9"/>
      <c r="E3963" s="9"/>
      <c r="F3963" s="12"/>
      <c r="G3963" s="12"/>
      <c r="H3963" s="12"/>
      <c r="I3963" s="12"/>
      <c r="J3963" s="12"/>
      <c r="K3963" s="12"/>
      <c r="L3963" s="1"/>
    </row>
    <row r="3964" spans="1:16" ht="15.75" customHeight="1" x14ac:dyDescent="0.35">
      <c r="B3964" s="13"/>
      <c r="C3964" s="13"/>
      <c r="D3964" s="13"/>
      <c r="E3964" s="13"/>
      <c r="F3964" s="33" t="s">
        <v>350</v>
      </c>
      <c r="G3964" s="13"/>
      <c r="I3964" s="14"/>
    </row>
    <row r="3965" spans="1:16" x14ac:dyDescent="0.35">
      <c r="B3965" s="13" t="s">
        <v>5</v>
      </c>
      <c r="C3965" s="13" t="s">
        <v>1</v>
      </c>
      <c r="D3965" s="15" t="str">
        <f>VLOOKUP(A3966,Inventory!$A$4:$K$1139,7)</f>
        <v xml:space="preserve">Sweet Marias                       </v>
      </c>
      <c r="F3965" s="13" t="s">
        <v>235</v>
      </c>
      <c r="G3965" s="16"/>
      <c r="H3965" s="14" t="s">
        <v>236</v>
      </c>
      <c r="L3965" s="17"/>
      <c r="M3965" s="17"/>
    </row>
    <row r="3966" spans="1:16" x14ac:dyDescent="0.35">
      <c r="A3966">
        <v>157</v>
      </c>
      <c r="B3966" s="5">
        <v>43990</v>
      </c>
      <c r="C3966" s="15" t="str">
        <f>VLOOKUP(A3966,Inventory!$A$4:$K$1139,2)</f>
        <v>Burundi Collines 2020 SWP Decaf</v>
      </c>
      <c r="F3966" s="18" t="s">
        <v>237</v>
      </c>
      <c r="G3966" s="2" t="s">
        <v>238</v>
      </c>
      <c r="L3966" s="17"/>
      <c r="M3966" s="17"/>
      <c r="P3966" s="8"/>
    </row>
    <row r="3967" spans="1:16" x14ac:dyDescent="0.35">
      <c r="I3967" s="2" t="s">
        <v>239</v>
      </c>
      <c r="J3967" s="1" t="s">
        <v>16</v>
      </c>
      <c r="L3967" s="19"/>
      <c r="M3967" s="19"/>
    </row>
    <row r="3968" spans="1:16" x14ac:dyDescent="0.35">
      <c r="C3968" s="11" t="s">
        <v>240</v>
      </c>
      <c r="D3968" s="11" t="s">
        <v>241</v>
      </c>
      <c r="E3968" s="11" t="s">
        <v>425</v>
      </c>
      <c r="F3968" s="11">
        <v>385</v>
      </c>
      <c r="G3968" s="11">
        <v>391</v>
      </c>
      <c r="H3968" s="11">
        <v>398</v>
      </c>
      <c r="I3968" s="11">
        <v>403</v>
      </c>
      <c r="J3968" s="11"/>
      <c r="K3968" s="11"/>
      <c r="L3968" s="11"/>
    </row>
    <row r="3969" spans="1:16" ht="15.75" customHeight="1" x14ac:dyDescent="0.35">
      <c r="B3969" s="20" t="s">
        <v>242</v>
      </c>
      <c r="C3969" s="21"/>
      <c r="D3969" s="22" t="s">
        <v>294</v>
      </c>
      <c r="E3969" s="23" t="s">
        <v>244</v>
      </c>
      <c r="F3969" s="23" t="s">
        <v>245</v>
      </c>
      <c r="G3969" s="23" t="s">
        <v>246</v>
      </c>
      <c r="H3969" s="23" t="s">
        <v>247</v>
      </c>
      <c r="I3969" s="23" t="s">
        <v>259</v>
      </c>
      <c r="J3969" s="23" t="s">
        <v>260</v>
      </c>
      <c r="O3969" s="4"/>
    </row>
    <row r="3970" spans="1:16" ht="1" customHeight="1" x14ac:dyDescent="0.35">
      <c r="B3970" s="24" t="s">
        <v>249</v>
      </c>
      <c r="C3970" s="25">
        <v>320</v>
      </c>
      <c r="D3970" s="25">
        <v>350</v>
      </c>
      <c r="E3970" s="25">
        <v>377</v>
      </c>
      <c r="F3970" s="25">
        <v>384</v>
      </c>
      <c r="G3970" s="25">
        <v>388</v>
      </c>
      <c r="H3970" s="25">
        <v>392</v>
      </c>
      <c r="I3970" s="25">
        <v>395</v>
      </c>
      <c r="J3970" s="25">
        <v>415</v>
      </c>
      <c r="O3970" t="e">
        <f>(O3968-3*O3967)/O3969</f>
        <v>#DIV/0!</v>
      </c>
    </row>
    <row r="3971" spans="1:16" ht="15.75" customHeight="1" x14ac:dyDescent="0.35">
      <c r="B3971" s="20" t="s">
        <v>250</v>
      </c>
      <c r="C3971" s="26">
        <v>0.23611111111111113</v>
      </c>
      <c r="D3971" s="26">
        <v>0.31597222222222221</v>
      </c>
      <c r="E3971" s="26">
        <v>0.43055555555555558</v>
      </c>
      <c r="F3971" s="26">
        <f>E3971+'Lookup Tables'!$N$1</f>
        <v>0.4513888888888889</v>
      </c>
      <c r="G3971" s="26">
        <f>F3971+'Lookup Tables'!$N$1</f>
        <v>0.47222222222222221</v>
      </c>
      <c r="H3971" s="26">
        <f>G3971+'Lookup Tables'!$N$1</f>
        <v>0.49305555555555552</v>
      </c>
      <c r="I3971" s="26">
        <f>H3971+'Lookup Tables'!$N$1</f>
        <v>0.51388888888888884</v>
      </c>
      <c r="J3971" s="26">
        <f>I3971+'Lookup Tables'!$M$1</f>
        <v>0.52430555555555547</v>
      </c>
      <c r="N3971">
        <f>MAX(F3968:M3968)-O3971</f>
        <v>27</v>
      </c>
      <c r="O3971" t="str">
        <f>RIGHT(E3968,3)</f>
        <v>376</v>
      </c>
    </row>
    <row r="3972" spans="1:16" ht="15.75" customHeight="1" x14ac:dyDescent="0.35">
      <c r="B3972" s="20" t="s">
        <v>251</v>
      </c>
      <c r="C3972" s="27">
        <v>0.2</v>
      </c>
      <c r="D3972" s="27">
        <v>0.5</v>
      </c>
      <c r="E3972" s="27"/>
      <c r="F3972" s="27"/>
      <c r="G3972" s="27"/>
      <c r="H3972" s="27"/>
      <c r="I3972" s="27"/>
      <c r="J3972" s="27"/>
      <c r="N3972" t="str">
        <f xml:space="preserve">  N3971 &amp; " degrees this time"</f>
        <v>27 degrees this time</v>
      </c>
    </row>
    <row r="3973" spans="1:16" ht="15.75" customHeight="1" x14ac:dyDescent="0.35">
      <c r="B3973" s="20" t="s">
        <v>252</v>
      </c>
      <c r="C3973" s="27">
        <v>0.9</v>
      </c>
      <c r="D3973" s="27">
        <v>0.7</v>
      </c>
      <c r="E3973" s="27">
        <v>0.6</v>
      </c>
      <c r="F3973" s="27"/>
      <c r="G3973" s="27"/>
      <c r="H3973" s="27"/>
      <c r="I3973" s="27"/>
      <c r="J3973" s="27"/>
    </row>
    <row r="3974" spans="1:16" ht="15.75" customHeight="1" x14ac:dyDescent="0.35">
      <c r="B3974" s="20"/>
      <c r="D3974" s="11"/>
      <c r="E3974" s="11"/>
      <c r="F3974" s="28"/>
      <c r="H3974" s="1"/>
      <c r="I3974" s="1"/>
    </row>
    <row r="3975" spans="1:16" ht="15.75" customHeight="1" x14ac:dyDescent="0.35">
      <c r="C3975" s="1" t="s">
        <v>525</v>
      </c>
      <c r="G3975" s="1" t="s">
        <v>383</v>
      </c>
      <c r="K3975" s="12" t="s">
        <v>334</v>
      </c>
      <c r="L3975" s="9"/>
      <c r="M3975" s="9"/>
    </row>
    <row r="3976" spans="1:16" ht="15.75" customHeight="1" x14ac:dyDescent="0.35">
      <c r="B3976" s="20"/>
      <c r="G3976" s="1"/>
      <c r="H3976" s="1"/>
      <c r="K3976" s="9"/>
      <c r="L3976" s="9"/>
      <c r="M3976" s="9"/>
    </row>
    <row r="3977" spans="1:16" ht="15.75" customHeight="1" x14ac:dyDescent="0.35">
      <c r="B3977" s="20"/>
      <c r="G3977" s="1"/>
      <c r="H3977" s="1"/>
      <c r="K3977" s="9" t="s">
        <v>254</v>
      </c>
      <c r="L3977" s="9"/>
      <c r="M3977" s="9"/>
    </row>
    <row r="3978" spans="1:16" ht="15.75" customHeight="1" x14ac:dyDescent="0.35">
      <c r="B3978" s="9"/>
      <c r="C3978" s="9"/>
      <c r="D3978" s="9"/>
      <c r="E3978" s="9"/>
      <c r="F3978" s="12"/>
      <c r="G3978" s="12"/>
      <c r="H3978" s="12"/>
      <c r="I3978" s="12"/>
      <c r="J3978" s="12"/>
      <c r="K3978" s="12"/>
      <c r="L3978" s="1"/>
    </row>
    <row r="3979" spans="1:16" ht="15.75" customHeight="1" x14ac:dyDescent="0.35">
      <c r="B3979" s="13"/>
      <c r="C3979" s="13"/>
      <c r="D3979" s="15"/>
      <c r="F3979" s="33" t="s">
        <v>350</v>
      </c>
      <c r="H3979" s="14" t="s">
        <v>255</v>
      </c>
      <c r="I3979" s="14"/>
    </row>
    <row r="3980" spans="1:16" x14ac:dyDescent="0.35">
      <c r="B3980" s="13" t="s">
        <v>5</v>
      </c>
      <c r="C3980" s="13" t="s">
        <v>1</v>
      </c>
      <c r="D3980" s="15" t="str">
        <f>VLOOKUP(A3981,Inventory!$A$4:$K$1139,7)</f>
        <v xml:space="preserve">Sweet Marias                       </v>
      </c>
      <c r="F3980" s="13" t="s">
        <v>235</v>
      </c>
      <c r="G3980" s="16"/>
      <c r="H3980" s="14" t="s">
        <v>256</v>
      </c>
      <c r="K3980" s="12" t="s">
        <v>334</v>
      </c>
      <c r="L3980" s="9"/>
      <c r="M3980" s="9"/>
    </row>
    <row r="3981" spans="1:16" x14ac:dyDescent="0.35">
      <c r="A3981">
        <v>157</v>
      </c>
      <c r="B3981" s="5">
        <v>43990</v>
      </c>
      <c r="C3981" s="15" t="str">
        <f>VLOOKUP(A3981,Inventory!$A$4:$K$1139,2)</f>
        <v>Burundi Collines 2020 SWP Decaf</v>
      </c>
      <c r="F3981" s="18" t="s">
        <v>257</v>
      </c>
      <c r="G3981" s="2" t="s">
        <v>238</v>
      </c>
      <c r="K3981" s="12" t="s">
        <v>526</v>
      </c>
      <c r="L3981" s="9"/>
      <c r="M3981" s="9"/>
      <c r="P3981" s="8"/>
    </row>
    <row r="3982" spans="1:16" x14ac:dyDescent="0.35">
      <c r="H3982" s="2" t="s">
        <v>258</v>
      </c>
      <c r="K3982" s="12" t="s">
        <v>512</v>
      </c>
      <c r="L3982" s="54"/>
      <c r="M3982" s="19"/>
    </row>
    <row r="3983" spans="1:16" x14ac:dyDescent="0.35">
      <c r="C3983" s="11" t="s">
        <v>240</v>
      </c>
      <c r="D3983" s="11" t="s">
        <v>241</v>
      </c>
      <c r="E3983" s="11" t="s">
        <v>520</v>
      </c>
      <c r="F3983" s="11"/>
      <c r="G3983" s="11">
        <v>402</v>
      </c>
      <c r="H3983" s="11">
        <v>411</v>
      </c>
      <c r="I3983" s="11"/>
      <c r="J3983" s="11"/>
      <c r="K3983" s="11"/>
      <c r="L3983" s="11"/>
    </row>
    <row r="3984" spans="1:16" ht="15.75" customHeight="1" x14ac:dyDescent="0.35">
      <c r="B3984" s="20" t="s">
        <v>242</v>
      </c>
      <c r="C3984" s="21"/>
      <c r="D3984" s="22" t="s">
        <v>294</v>
      </c>
      <c r="E3984" s="23" t="s">
        <v>244</v>
      </c>
      <c r="F3984" s="23" t="s">
        <v>245</v>
      </c>
      <c r="G3984" s="23" t="s">
        <v>246</v>
      </c>
      <c r="H3984" s="23" t="s">
        <v>247</v>
      </c>
      <c r="I3984" s="23" t="s">
        <v>259</v>
      </c>
      <c r="J3984" s="23" t="s">
        <v>260</v>
      </c>
      <c r="K3984" s="23" t="s">
        <v>261</v>
      </c>
      <c r="O3984" s="4"/>
    </row>
    <row r="3985" spans="1:16" ht="1" customHeight="1" x14ac:dyDescent="0.35">
      <c r="B3985" s="24" t="s">
        <v>249</v>
      </c>
      <c r="C3985" s="25">
        <v>320</v>
      </c>
      <c r="D3985" s="25">
        <v>350</v>
      </c>
      <c r="E3985" s="25">
        <v>377</v>
      </c>
      <c r="F3985" s="25">
        <v>384</v>
      </c>
      <c r="G3985" s="25">
        <v>388</v>
      </c>
      <c r="H3985" s="25">
        <v>392</v>
      </c>
      <c r="I3985" s="25">
        <v>395</v>
      </c>
      <c r="J3985" s="25">
        <v>415</v>
      </c>
      <c r="K3985" s="25">
        <v>415</v>
      </c>
      <c r="O3985" t="e">
        <f>(O3983-3*O3982)/O3984</f>
        <v>#DIV/0!</v>
      </c>
    </row>
    <row r="3986" spans="1:16" ht="15.75" customHeight="1" x14ac:dyDescent="0.35">
      <c r="B3986" s="20" t="s">
        <v>250</v>
      </c>
      <c r="C3986" s="26">
        <v>0.21180555555555555</v>
      </c>
      <c r="D3986" s="26">
        <v>0.28472222222222221</v>
      </c>
      <c r="E3986" s="26">
        <v>0.44791666666666669</v>
      </c>
      <c r="F3986" s="26">
        <f>E3986+'Lookup Tables'!$N$1</f>
        <v>0.46875</v>
      </c>
      <c r="G3986" s="26">
        <f>F3986+'Lookup Tables'!$N$1</f>
        <v>0.48958333333333331</v>
      </c>
      <c r="H3986" s="26">
        <f>G3986+'Lookup Tables'!$N$1</f>
        <v>0.51041666666666663</v>
      </c>
      <c r="I3986" s="26">
        <f>H3986+'Lookup Tables'!$N$1</f>
        <v>0.53125</v>
      </c>
      <c r="J3986" s="26">
        <f>I3986+'Lookup Tables'!$M$1</f>
        <v>0.54166666666666663</v>
      </c>
      <c r="K3986" s="26">
        <f>J3986+'Lookup Tables'!$M$1</f>
        <v>0.55208333333333326</v>
      </c>
      <c r="N3986">
        <f>MAX(F3983:M3983)-O3986</f>
        <v>26</v>
      </c>
      <c r="O3986" t="str">
        <f>RIGHT(E3983,3)</f>
        <v>385</v>
      </c>
    </row>
    <row r="3987" spans="1:16" ht="15.75" customHeight="1" x14ac:dyDescent="0.35">
      <c r="B3987" s="20" t="s">
        <v>251</v>
      </c>
      <c r="C3987" s="27">
        <v>0.2</v>
      </c>
      <c r="D3987" s="27">
        <v>0.5</v>
      </c>
      <c r="E3987" s="27"/>
      <c r="F3987" s="27"/>
      <c r="G3987" s="27"/>
      <c r="H3987" s="27"/>
      <c r="I3987" s="27"/>
      <c r="J3987" s="27"/>
      <c r="K3987" s="25"/>
      <c r="N3987" t="str">
        <f xml:space="preserve">  N3986 &amp; " degrees this time"</f>
        <v>26 degrees this time</v>
      </c>
    </row>
    <row r="3988" spans="1:16" ht="15.75" customHeight="1" x14ac:dyDescent="0.35">
      <c r="B3988" s="20" t="s">
        <v>252</v>
      </c>
      <c r="C3988" s="27">
        <v>0.9</v>
      </c>
      <c r="D3988" s="27">
        <v>0.7</v>
      </c>
      <c r="E3988" s="27">
        <v>0.6</v>
      </c>
      <c r="F3988" s="27"/>
      <c r="G3988" s="27"/>
      <c r="H3988" s="27"/>
      <c r="I3988" s="27"/>
      <c r="J3988" s="27"/>
      <c r="K3988" s="27"/>
    </row>
    <row r="3989" spans="1:16" ht="15.75" customHeight="1" x14ac:dyDescent="0.35">
      <c r="B3989" s="20"/>
      <c r="D3989" s="11"/>
      <c r="E3989" s="11"/>
      <c r="F3989" s="28"/>
      <c r="H3989" s="1"/>
    </row>
    <row r="3990" spans="1:16" ht="15.75" customHeight="1" x14ac:dyDescent="0.35">
      <c r="B3990" s="1" t="s">
        <v>385</v>
      </c>
      <c r="F3990" t="s">
        <v>263</v>
      </c>
      <c r="G3990" s="1"/>
      <c r="K3990" s="12"/>
      <c r="L3990" s="9"/>
      <c r="M3990" s="9"/>
    </row>
    <row r="3991" spans="1:16" ht="15.75" customHeight="1" x14ac:dyDescent="0.35">
      <c r="B3991" s="20" t="s">
        <v>264</v>
      </c>
      <c r="D3991" s="29"/>
      <c r="F3991" t="s">
        <v>265</v>
      </c>
      <c r="G3991" s="1"/>
      <c r="H3991" s="1"/>
      <c r="K3991" s="9" t="s">
        <v>386</v>
      </c>
      <c r="L3991" s="9"/>
      <c r="M3991" s="9"/>
    </row>
    <row r="3992" spans="1:16" ht="15.75" customHeight="1" x14ac:dyDescent="0.35">
      <c r="B3992" s="20" t="s">
        <v>267</v>
      </c>
      <c r="F3992" t="s">
        <v>268</v>
      </c>
      <c r="G3992" s="1"/>
      <c r="H3992" s="1"/>
      <c r="K3992" s="9" t="s">
        <v>254</v>
      </c>
      <c r="L3992" s="9"/>
      <c r="M3992" s="9"/>
    </row>
    <row r="3993" spans="1:16" ht="15.75" customHeight="1" x14ac:dyDescent="0.35">
      <c r="B3993" s="9"/>
      <c r="C3993" s="9"/>
      <c r="D3993" s="9"/>
      <c r="E3993" s="9"/>
      <c r="F3993" s="12"/>
      <c r="G3993" s="12"/>
      <c r="H3993" s="12"/>
      <c r="I3993" s="12"/>
      <c r="J3993" s="12"/>
      <c r="K3993" s="12"/>
      <c r="L3993" s="1"/>
    </row>
    <row r="3994" spans="1:16" ht="15.75" customHeight="1" x14ac:dyDescent="0.35">
      <c r="B3994" s="13"/>
      <c r="C3994" s="13"/>
      <c r="D3994" s="13"/>
      <c r="E3994" s="13"/>
      <c r="F3994" s="13"/>
      <c r="G3994" s="13"/>
      <c r="I3994" s="14"/>
    </row>
    <row r="3995" spans="1:16" x14ac:dyDescent="0.35">
      <c r="B3995" s="13" t="s">
        <v>5</v>
      </c>
      <c r="C3995" s="13" t="s">
        <v>1</v>
      </c>
      <c r="D3995" s="15" t="str">
        <f>VLOOKUP(A3996,Inventory!$A$4:$K$1139,7)</f>
        <v xml:space="preserve">GCBC                               </v>
      </c>
      <c r="F3995" s="13" t="s">
        <v>235</v>
      </c>
      <c r="G3995" s="16"/>
      <c r="H3995" s="14" t="s">
        <v>236</v>
      </c>
      <c r="L3995" s="17"/>
      <c r="M3995" s="17"/>
    </row>
    <row r="3996" spans="1:16" x14ac:dyDescent="0.35">
      <c r="A3996">
        <v>155</v>
      </c>
      <c r="B3996" s="5">
        <v>43981</v>
      </c>
      <c r="C3996" s="15" t="str">
        <f>VLOOKUP(A3996,Inventory!$A$4:$K$1139,2)</f>
        <v>Organic Ethiopian Sidamo 2019 WP Decaf</v>
      </c>
      <c r="F3996" s="18" t="s">
        <v>237</v>
      </c>
      <c r="G3996" s="2" t="s">
        <v>238</v>
      </c>
      <c r="L3996" s="17"/>
      <c r="M3996" s="17"/>
      <c r="P3996" s="8"/>
    </row>
    <row r="3997" spans="1:16" x14ac:dyDescent="0.35">
      <c r="J3997" s="1" t="s">
        <v>16</v>
      </c>
      <c r="L3997" s="19"/>
      <c r="M3997" s="19"/>
    </row>
    <row r="3998" spans="1:16" x14ac:dyDescent="0.35">
      <c r="C3998" s="11" t="s">
        <v>240</v>
      </c>
      <c r="D3998" s="11" t="s">
        <v>241</v>
      </c>
      <c r="E3998" s="11" t="s">
        <v>517</v>
      </c>
      <c r="F3998" s="11">
        <v>366</v>
      </c>
      <c r="G3998" s="11">
        <v>371</v>
      </c>
      <c r="H3998" s="11">
        <v>378</v>
      </c>
      <c r="I3998" s="11">
        <v>386</v>
      </c>
      <c r="J3998" s="11"/>
      <c r="K3998" s="11"/>
      <c r="L3998" s="11"/>
    </row>
    <row r="3999" spans="1:16" ht="15.75" customHeight="1" x14ac:dyDescent="0.35">
      <c r="B3999" s="20" t="s">
        <v>242</v>
      </c>
      <c r="C3999" s="30"/>
      <c r="D3999" s="22" t="s">
        <v>433</v>
      </c>
      <c r="E3999" s="23" t="s">
        <v>244</v>
      </c>
      <c r="F3999" s="23" t="s">
        <v>245</v>
      </c>
      <c r="G3999" s="23" t="s">
        <v>246</v>
      </c>
      <c r="H3999" s="23" t="s">
        <v>247</v>
      </c>
      <c r="I3999" s="23" t="s">
        <v>259</v>
      </c>
      <c r="J3999" s="23" t="s">
        <v>260</v>
      </c>
      <c r="K3999" s="23" t="s">
        <v>261</v>
      </c>
      <c r="O3999" s="4"/>
    </row>
    <row r="4000" spans="1:16" ht="1" customHeight="1" x14ac:dyDescent="0.35">
      <c r="B4000" s="24" t="s">
        <v>249</v>
      </c>
      <c r="C4000" s="25">
        <v>320</v>
      </c>
      <c r="D4000" s="25">
        <v>350</v>
      </c>
      <c r="E4000" s="25">
        <v>377</v>
      </c>
      <c r="F4000" s="25">
        <v>384</v>
      </c>
      <c r="G4000" s="25">
        <v>388</v>
      </c>
      <c r="H4000" s="25">
        <v>392</v>
      </c>
      <c r="I4000" s="25">
        <v>395</v>
      </c>
      <c r="J4000" s="25">
        <v>415</v>
      </c>
      <c r="K4000" s="25">
        <v>415</v>
      </c>
      <c r="O4000" t="e">
        <f>(O3998-3*O3997)/O3999</f>
        <v>#DIV/0!</v>
      </c>
    </row>
    <row r="4001" spans="1:16" ht="15.75" customHeight="1" x14ac:dyDescent="0.35">
      <c r="B4001" s="20" t="s">
        <v>250</v>
      </c>
      <c r="C4001" s="26">
        <v>0.23611111111111113</v>
      </c>
      <c r="D4001" s="26">
        <v>0.3125</v>
      </c>
      <c r="E4001" s="26">
        <v>0.375</v>
      </c>
      <c r="F4001" s="26">
        <f>E4001+'Lookup Tables'!$N$1</f>
        <v>0.39583333333333331</v>
      </c>
      <c r="G4001" s="26">
        <f>F4001+'Lookup Tables'!$N$1</f>
        <v>0.41666666666666663</v>
      </c>
      <c r="H4001" s="26">
        <f>G4001+'Lookup Tables'!$N$1</f>
        <v>0.43749999999999994</v>
      </c>
      <c r="I4001" s="26">
        <f>H4001+'Lookup Tables'!$N$1</f>
        <v>0.45833333333333326</v>
      </c>
      <c r="J4001" s="26">
        <f>I4001+'Lookup Tables'!$M$1</f>
        <v>0.46874999999999994</v>
      </c>
      <c r="K4001" s="26">
        <f>J4001+'Lookup Tables'!$M$1</f>
        <v>0.47916666666666663</v>
      </c>
      <c r="N4001">
        <f>MAX(F3998:M3998)-O4001</f>
        <v>27</v>
      </c>
      <c r="O4001" t="str">
        <f>RIGHT(E3998,3)</f>
        <v>359</v>
      </c>
    </row>
    <row r="4002" spans="1:16" ht="15.75" customHeight="1" x14ac:dyDescent="0.35">
      <c r="B4002" s="20" t="s">
        <v>251</v>
      </c>
      <c r="C4002" s="27">
        <v>0.2</v>
      </c>
      <c r="D4002" s="27">
        <v>0.5</v>
      </c>
      <c r="E4002" s="27"/>
      <c r="F4002" s="27"/>
      <c r="G4002" s="27"/>
      <c r="H4002" s="27"/>
      <c r="I4002" s="27"/>
      <c r="J4002" s="27"/>
      <c r="K4002" s="27"/>
      <c r="N4002" t="str">
        <f xml:space="preserve">  N4001 &amp; " degrees this time"</f>
        <v>27 degrees this time</v>
      </c>
    </row>
    <row r="4003" spans="1:16" ht="15.75" customHeight="1" x14ac:dyDescent="0.35">
      <c r="B4003" s="20" t="s">
        <v>252</v>
      </c>
      <c r="C4003" s="27">
        <v>0.9</v>
      </c>
      <c r="D4003" s="27">
        <v>0.7</v>
      </c>
      <c r="E4003" s="27">
        <v>0.6</v>
      </c>
      <c r="F4003" s="27"/>
      <c r="G4003" s="27"/>
      <c r="H4003" s="27"/>
      <c r="I4003" s="27"/>
      <c r="J4003" s="27"/>
      <c r="K4003" s="27"/>
    </row>
    <row r="4004" spans="1:16" ht="15.75" customHeight="1" x14ac:dyDescent="0.35">
      <c r="B4004" s="20"/>
      <c r="D4004" s="11"/>
      <c r="E4004" s="11"/>
      <c r="F4004" s="28"/>
      <c r="H4004" s="1"/>
      <c r="I4004" s="1"/>
    </row>
    <row r="4005" spans="1:16" ht="15.75" customHeight="1" x14ac:dyDescent="0.35">
      <c r="G4005" s="1" t="s">
        <v>383</v>
      </c>
      <c r="K4005" s="9"/>
      <c r="L4005" s="9"/>
      <c r="M4005" s="9"/>
    </row>
    <row r="4006" spans="1:16" ht="15.75" customHeight="1" x14ac:dyDescent="0.35">
      <c r="B4006" s="20"/>
      <c r="G4006" s="1"/>
      <c r="H4006" s="1"/>
      <c r="K4006" s="9"/>
      <c r="L4006" s="9"/>
      <c r="M4006" s="9"/>
    </row>
    <row r="4007" spans="1:16" ht="15.75" customHeight="1" x14ac:dyDescent="0.35">
      <c r="B4007" s="20"/>
      <c r="G4007" s="1"/>
      <c r="H4007" s="1"/>
      <c r="K4007" s="9" t="s">
        <v>254</v>
      </c>
      <c r="L4007" s="9"/>
      <c r="M4007" s="9"/>
    </row>
    <row r="4008" spans="1:16" ht="15.75" customHeight="1" x14ac:dyDescent="0.35">
      <c r="B4008" s="9"/>
      <c r="C4008" s="9"/>
      <c r="D4008" s="9"/>
      <c r="E4008" s="9"/>
      <c r="F4008" s="12"/>
      <c r="G4008" s="12"/>
      <c r="H4008" s="12"/>
      <c r="I4008" s="12"/>
      <c r="J4008" s="12"/>
      <c r="K4008" s="12"/>
      <c r="L4008" s="1"/>
    </row>
    <row r="4009" spans="1:16" ht="15.75" customHeight="1" x14ac:dyDescent="0.35">
      <c r="B4009" s="13"/>
      <c r="C4009" s="13"/>
      <c r="D4009" s="15"/>
      <c r="H4009" s="14" t="s">
        <v>255</v>
      </c>
      <c r="I4009" s="14"/>
    </row>
    <row r="4010" spans="1:16" x14ac:dyDescent="0.35">
      <c r="B4010" s="13" t="s">
        <v>5</v>
      </c>
      <c r="C4010" s="13" t="s">
        <v>1</v>
      </c>
      <c r="D4010" s="15" t="str">
        <f>VLOOKUP(A4011,Inventory!$A$4:$K$1139,7)</f>
        <v xml:space="preserve">GCBC                               </v>
      </c>
      <c r="F4010" s="13" t="s">
        <v>235</v>
      </c>
      <c r="G4010" s="16"/>
      <c r="H4010" s="14" t="s">
        <v>256</v>
      </c>
      <c r="L4010" s="17"/>
      <c r="M4010" s="17"/>
    </row>
    <row r="4011" spans="1:16" x14ac:dyDescent="0.35">
      <c r="A4011">
        <v>155</v>
      </c>
      <c r="B4011" s="5">
        <v>43981</v>
      </c>
      <c r="C4011" s="15" t="str">
        <f>VLOOKUP(A4011,Inventory!$A$4:$K$1139,2)</f>
        <v>Organic Ethiopian Sidamo 2019 WP Decaf</v>
      </c>
      <c r="F4011" s="18" t="s">
        <v>257</v>
      </c>
      <c r="G4011" s="2" t="s">
        <v>238</v>
      </c>
      <c r="L4011" s="17"/>
      <c r="M4011" s="17"/>
      <c r="P4011" s="8"/>
    </row>
    <row r="4012" spans="1:16" x14ac:dyDescent="0.35">
      <c r="L4012" s="19"/>
      <c r="M4012" s="19"/>
    </row>
    <row r="4013" spans="1:16" x14ac:dyDescent="0.35">
      <c r="C4013" s="11" t="s">
        <v>240</v>
      </c>
      <c r="D4013" s="11" t="s">
        <v>241</v>
      </c>
      <c r="E4013" s="11" t="s">
        <v>426</v>
      </c>
      <c r="F4013" s="11">
        <v>377</v>
      </c>
      <c r="G4013" s="11">
        <v>382</v>
      </c>
      <c r="H4013" s="11">
        <v>388</v>
      </c>
      <c r="I4013" s="11">
        <v>397</v>
      </c>
      <c r="J4013" s="11"/>
      <c r="K4013" s="11"/>
      <c r="L4013" s="11"/>
    </row>
    <row r="4014" spans="1:16" ht="15.75" customHeight="1" x14ac:dyDescent="0.35">
      <c r="B4014" s="20" t="s">
        <v>242</v>
      </c>
      <c r="C4014" s="30"/>
      <c r="D4014" s="30"/>
      <c r="E4014" s="23" t="s">
        <v>244</v>
      </c>
      <c r="F4014" s="23" t="s">
        <v>245</v>
      </c>
      <c r="G4014" s="23" t="s">
        <v>246</v>
      </c>
      <c r="H4014" s="23" t="s">
        <v>247</v>
      </c>
      <c r="I4014" s="23" t="s">
        <v>259</v>
      </c>
      <c r="J4014" s="23" t="s">
        <v>260</v>
      </c>
      <c r="K4014" s="23" t="s">
        <v>261</v>
      </c>
      <c r="O4014" s="4"/>
    </row>
    <row r="4015" spans="1:16" ht="1" customHeight="1" x14ac:dyDescent="0.35">
      <c r="B4015" s="24" t="s">
        <v>249</v>
      </c>
      <c r="C4015" s="25">
        <v>320</v>
      </c>
      <c r="D4015" s="25">
        <v>350</v>
      </c>
      <c r="E4015" s="25">
        <v>377</v>
      </c>
      <c r="F4015" s="25">
        <v>384</v>
      </c>
      <c r="G4015" s="25">
        <v>388</v>
      </c>
      <c r="H4015" s="25">
        <v>392</v>
      </c>
      <c r="I4015" s="25">
        <v>395</v>
      </c>
      <c r="J4015" s="25">
        <v>415</v>
      </c>
      <c r="K4015" s="25">
        <v>415</v>
      </c>
      <c r="O4015" t="e">
        <f>(O4013-3*O4012)/O4014</f>
        <v>#DIV/0!</v>
      </c>
    </row>
    <row r="4016" spans="1:16" ht="15.75" customHeight="1" x14ac:dyDescent="0.35">
      <c r="B4016" s="20" t="s">
        <v>250</v>
      </c>
      <c r="C4016" s="26">
        <v>0.21180555555555555</v>
      </c>
      <c r="D4016" s="26">
        <v>0.28472222222222221</v>
      </c>
      <c r="E4016" s="26">
        <v>0.38194444444444442</v>
      </c>
      <c r="F4016" s="26">
        <f>E4016+'Lookup Tables'!$N$1</f>
        <v>0.40277777777777773</v>
      </c>
      <c r="G4016" s="26">
        <f>F4016+'Lookup Tables'!$N$1</f>
        <v>0.42361111111111105</v>
      </c>
      <c r="H4016" s="26">
        <f>G4016+'Lookup Tables'!$N$1</f>
        <v>0.44444444444444436</v>
      </c>
      <c r="I4016" s="26">
        <f>H4016+'Lookup Tables'!$N$1</f>
        <v>0.46527777777777768</v>
      </c>
      <c r="J4016" s="26">
        <f>I4016+'Lookup Tables'!$M$1</f>
        <v>0.47569444444444436</v>
      </c>
      <c r="K4016" s="26">
        <f>J4016+'Lookup Tables'!$M$1</f>
        <v>0.48611111111111105</v>
      </c>
      <c r="N4016">
        <f>MAX(F4013:M4013)-O4016</f>
        <v>27</v>
      </c>
      <c r="O4016" t="str">
        <f>RIGHT(E4013,3)</f>
        <v>370</v>
      </c>
    </row>
    <row r="4017" spans="1:16" ht="15.75" customHeight="1" x14ac:dyDescent="0.35">
      <c r="B4017" s="20" t="s">
        <v>251</v>
      </c>
      <c r="C4017" s="27">
        <v>0.2</v>
      </c>
      <c r="D4017" s="27">
        <v>0.5</v>
      </c>
      <c r="E4017" s="27"/>
      <c r="F4017" s="27"/>
      <c r="G4017" s="27"/>
      <c r="H4017" s="27"/>
      <c r="I4017" s="27"/>
      <c r="J4017" s="27"/>
      <c r="K4017" s="25"/>
      <c r="N4017" t="str">
        <f xml:space="preserve">  N4016 &amp; " degrees this time"</f>
        <v>27 degrees this time</v>
      </c>
    </row>
    <row r="4018" spans="1:16" ht="15.75" customHeight="1" x14ac:dyDescent="0.35">
      <c r="B4018" s="20" t="s">
        <v>252</v>
      </c>
      <c r="C4018" s="27">
        <v>0.9</v>
      </c>
      <c r="D4018" s="27">
        <v>0.7</v>
      </c>
      <c r="E4018" s="27">
        <v>0.6</v>
      </c>
      <c r="F4018" s="27"/>
      <c r="G4018" s="27"/>
      <c r="H4018" s="27"/>
      <c r="I4018" s="27"/>
      <c r="J4018" s="27"/>
      <c r="K4018" s="27"/>
    </row>
    <row r="4019" spans="1:16" ht="15.75" customHeight="1" x14ac:dyDescent="0.35">
      <c r="B4019" s="20"/>
      <c r="D4019" s="11"/>
      <c r="E4019" s="11"/>
      <c r="F4019" s="28"/>
      <c r="H4019" s="1"/>
    </row>
    <row r="4020" spans="1:16" ht="15.75" customHeight="1" x14ac:dyDescent="0.35">
      <c r="B4020" s="1" t="s">
        <v>385</v>
      </c>
      <c r="F4020" t="s">
        <v>263</v>
      </c>
      <c r="G4020" s="1"/>
      <c r="K4020" s="9"/>
      <c r="L4020" s="9"/>
      <c r="M4020" s="9"/>
    </row>
    <row r="4021" spans="1:16" ht="15.75" customHeight="1" x14ac:dyDescent="0.35">
      <c r="B4021" s="20" t="s">
        <v>264</v>
      </c>
      <c r="D4021" s="29"/>
      <c r="F4021" t="s">
        <v>265</v>
      </c>
      <c r="G4021" s="1"/>
      <c r="H4021" s="1"/>
      <c r="K4021" s="9" t="s">
        <v>386</v>
      </c>
      <c r="L4021" s="9"/>
      <c r="M4021" s="9"/>
    </row>
    <row r="4022" spans="1:16" ht="15.75" customHeight="1" x14ac:dyDescent="0.35">
      <c r="B4022" s="20" t="s">
        <v>267</v>
      </c>
      <c r="F4022" t="s">
        <v>268</v>
      </c>
      <c r="G4022" s="1"/>
      <c r="H4022" s="1"/>
      <c r="K4022" s="9" t="s">
        <v>254</v>
      </c>
      <c r="L4022" s="9"/>
      <c r="M4022" s="9"/>
    </row>
    <row r="4023" spans="1:16" ht="15.75" customHeight="1" x14ac:dyDescent="0.35">
      <c r="B4023" s="9"/>
      <c r="C4023" s="9"/>
      <c r="D4023" s="9"/>
      <c r="E4023" s="9"/>
      <c r="F4023" s="12"/>
      <c r="G4023" s="12"/>
      <c r="H4023" s="12"/>
      <c r="I4023" s="12"/>
      <c r="J4023" s="12"/>
      <c r="K4023" s="12"/>
      <c r="L4023" s="1"/>
    </row>
    <row r="4024" spans="1:16" ht="15.75" customHeight="1" x14ac:dyDescent="0.35">
      <c r="B4024" s="13"/>
      <c r="C4024" s="13"/>
      <c r="D4024" s="13"/>
      <c r="E4024" s="13"/>
      <c r="F4024" s="13"/>
      <c r="G4024" s="13"/>
      <c r="I4024" s="14"/>
    </row>
    <row r="4025" spans="1:16" x14ac:dyDescent="0.35">
      <c r="B4025" s="13" t="s">
        <v>5</v>
      </c>
      <c r="C4025" s="13" t="s">
        <v>1</v>
      </c>
      <c r="D4025" s="15" t="str">
        <f>VLOOKUP(A4026,Inventory!$A$4:$K$1139,7)</f>
        <v xml:space="preserve">GCBC                               </v>
      </c>
      <c r="F4025" s="13" t="s">
        <v>235</v>
      </c>
      <c r="G4025" s="16"/>
      <c r="H4025" s="14" t="s">
        <v>236</v>
      </c>
      <c r="L4025" s="17"/>
      <c r="M4025" s="17"/>
    </row>
    <row r="4026" spans="1:16" x14ac:dyDescent="0.35">
      <c r="A4026">
        <v>155</v>
      </c>
      <c r="B4026" s="5">
        <v>43981</v>
      </c>
      <c r="C4026" s="15" t="str">
        <f>VLOOKUP(A4026,Inventory!$A$4:$K$1139,2)</f>
        <v>Organic Ethiopian Sidamo 2019 WP Decaf</v>
      </c>
      <c r="F4026" s="18" t="s">
        <v>237</v>
      </c>
      <c r="G4026" s="2" t="s">
        <v>238</v>
      </c>
      <c r="L4026" s="17"/>
      <c r="M4026" s="17"/>
      <c r="P4026" s="8"/>
    </row>
    <row r="4027" spans="1:16" x14ac:dyDescent="0.35">
      <c r="J4027" s="1" t="s">
        <v>16</v>
      </c>
      <c r="L4027" s="19"/>
      <c r="M4027" s="19"/>
    </row>
    <row r="4028" spans="1:16" x14ac:dyDescent="0.35">
      <c r="C4028" s="11" t="s">
        <v>240</v>
      </c>
      <c r="D4028" s="11" t="s">
        <v>241</v>
      </c>
      <c r="E4028" s="11" t="s">
        <v>444</v>
      </c>
      <c r="F4028" s="11">
        <v>367</v>
      </c>
      <c r="G4028" s="11">
        <v>373</v>
      </c>
      <c r="H4028" s="11">
        <v>379</v>
      </c>
      <c r="I4028" s="11">
        <v>386</v>
      </c>
      <c r="J4028" s="11"/>
      <c r="K4028" s="11"/>
      <c r="L4028" s="11"/>
    </row>
    <row r="4029" spans="1:16" ht="15.75" customHeight="1" x14ac:dyDescent="0.35">
      <c r="B4029" s="20" t="s">
        <v>242</v>
      </c>
      <c r="C4029" s="30"/>
      <c r="D4029" s="22" t="s">
        <v>433</v>
      </c>
      <c r="E4029" s="23" t="s">
        <v>244</v>
      </c>
      <c r="F4029" s="23" t="s">
        <v>245</v>
      </c>
      <c r="G4029" s="23" t="s">
        <v>246</v>
      </c>
      <c r="H4029" s="23" t="s">
        <v>247</v>
      </c>
      <c r="I4029" s="23" t="s">
        <v>259</v>
      </c>
      <c r="J4029" s="23" t="s">
        <v>260</v>
      </c>
      <c r="K4029" s="23" t="s">
        <v>261</v>
      </c>
      <c r="O4029" s="4"/>
    </row>
    <row r="4030" spans="1:16" ht="1" customHeight="1" x14ac:dyDescent="0.35">
      <c r="B4030" s="24" t="s">
        <v>249</v>
      </c>
      <c r="C4030" s="25">
        <v>320</v>
      </c>
      <c r="D4030" s="25">
        <v>350</v>
      </c>
      <c r="E4030" s="25">
        <v>377</v>
      </c>
      <c r="F4030" s="25">
        <v>384</v>
      </c>
      <c r="G4030" s="25">
        <v>388</v>
      </c>
      <c r="H4030" s="25">
        <v>392</v>
      </c>
      <c r="I4030" s="25">
        <v>395</v>
      </c>
      <c r="J4030" s="25">
        <v>415</v>
      </c>
      <c r="K4030" s="25">
        <v>415</v>
      </c>
      <c r="O4030" t="e">
        <f>(O4028-3*O4027)/O4029</f>
        <v>#DIV/0!</v>
      </c>
    </row>
    <row r="4031" spans="1:16" ht="15.75" customHeight="1" x14ac:dyDescent="0.35">
      <c r="B4031" s="20" t="s">
        <v>250</v>
      </c>
      <c r="C4031" s="26">
        <v>0.23611111111111113</v>
      </c>
      <c r="D4031" s="26">
        <v>0.30555555555555552</v>
      </c>
      <c r="E4031" s="26">
        <v>0.375</v>
      </c>
      <c r="F4031" s="26">
        <f>E4031+'Lookup Tables'!$N$1</f>
        <v>0.39583333333333331</v>
      </c>
      <c r="G4031" s="26">
        <f>F4031+'Lookup Tables'!$N$1</f>
        <v>0.41666666666666663</v>
      </c>
      <c r="H4031" s="26">
        <f>G4031+'Lookup Tables'!$N$1</f>
        <v>0.43749999999999994</v>
      </c>
      <c r="I4031" s="26">
        <f>H4031+'Lookup Tables'!$N$1</f>
        <v>0.45833333333333326</v>
      </c>
      <c r="J4031" s="26">
        <f>I4031+'Lookup Tables'!$M$1</f>
        <v>0.46874999999999994</v>
      </c>
      <c r="K4031" s="26">
        <f>J4031+'Lookup Tables'!$M$1</f>
        <v>0.47916666666666663</v>
      </c>
      <c r="N4031">
        <f>MAX(F4028:M4028)-O4031</f>
        <v>26</v>
      </c>
      <c r="O4031" t="str">
        <f>RIGHT(E4028,3)</f>
        <v>360</v>
      </c>
    </row>
    <row r="4032" spans="1:16" ht="15.75" customHeight="1" x14ac:dyDescent="0.35">
      <c r="B4032" s="20" t="s">
        <v>251</v>
      </c>
      <c r="C4032" s="27">
        <v>0.2</v>
      </c>
      <c r="D4032" s="27">
        <v>0.5</v>
      </c>
      <c r="E4032" s="27"/>
      <c r="F4032" s="27"/>
      <c r="G4032" s="27"/>
      <c r="H4032" s="27"/>
      <c r="I4032" s="27"/>
      <c r="J4032" s="27"/>
      <c r="K4032" s="27"/>
      <c r="N4032" t="str">
        <f xml:space="preserve">  N4031 &amp; " degrees this time"</f>
        <v>26 degrees this time</v>
      </c>
    </row>
    <row r="4033" spans="1:16" ht="15.75" customHeight="1" x14ac:dyDescent="0.35">
      <c r="B4033" s="20" t="s">
        <v>252</v>
      </c>
      <c r="C4033" s="27">
        <v>0.9</v>
      </c>
      <c r="D4033" s="27">
        <v>0.7</v>
      </c>
      <c r="E4033" s="27">
        <v>0.6</v>
      </c>
      <c r="F4033" s="27"/>
      <c r="G4033" s="27"/>
      <c r="H4033" s="27"/>
      <c r="I4033" s="27"/>
      <c r="J4033" s="27"/>
      <c r="K4033" s="27"/>
    </row>
    <row r="4034" spans="1:16" ht="15.75" customHeight="1" x14ac:dyDescent="0.35">
      <c r="B4034" s="20"/>
      <c r="D4034" s="11"/>
      <c r="E4034" s="11"/>
      <c r="F4034" s="28"/>
      <c r="H4034" s="1"/>
      <c r="I4034" s="1"/>
    </row>
    <row r="4035" spans="1:16" ht="15.75" customHeight="1" x14ac:dyDescent="0.35">
      <c r="G4035" s="1" t="s">
        <v>383</v>
      </c>
      <c r="K4035" s="9"/>
      <c r="L4035" s="9"/>
      <c r="M4035" s="9"/>
    </row>
    <row r="4036" spans="1:16" ht="15.75" customHeight="1" x14ac:dyDescent="0.35">
      <c r="B4036" s="20"/>
      <c r="G4036" s="1"/>
      <c r="H4036" s="1"/>
      <c r="K4036" s="9"/>
      <c r="L4036" s="9"/>
      <c r="M4036" s="9"/>
    </row>
    <row r="4037" spans="1:16" ht="15.75" customHeight="1" x14ac:dyDescent="0.35">
      <c r="B4037" s="20"/>
      <c r="G4037" s="1"/>
      <c r="H4037" s="1"/>
      <c r="K4037" s="9" t="s">
        <v>254</v>
      </c>
      <c r="L4037" s="9"/>
      <c r="M4037" s="9"/>
    </row>
    <row r="4038" spans="1:16" ht="15.75" customHeight="1" x14ac:dyDescent="0.35">
      <c r="B4038" s="9"/>
      <c r="C4038" s="9"/>
      <c r="D4038" s="9"/>
      <c r="E4038" s="9"/>
      <c r="F4038" s="12"/>
      <c r="G4038" s="12"/>
      <c r="H4038" s="12"/>
      <c r="I4038" s="12"/>
      <c r="J4038" s="12"/>
      <c r="K4038" s="12"/>
      <c r="L4038" s="1"/>
    </row>
    <row r="4039" spans="1:16" ht="15.75" customHeight="1" x14ac:dyDescent="0.35">
      <c r="B4039" s="13"/>
      <c r="C4039" s="13"/>
      <c r="D4039" s="15"/>
      <c r="H4039" s="14" t="s">
        <v>255</v>
      </c>
      <c r="I4039" s="14"/>
    </row>
    <row r="4040" spans="1:16" x14ac:dyDescent="0.35">
      <c r="B4040" s="13" t="s">
        <v>5</v>
      </c>
      <c r="C4040" s="13" t="s">
        <v>1</v>
      </c>
      <c r="D4040" s="15" t="str">
        <f>VLOOKUP(A4041,Inventory!$A$4:$K$1139,7)</f>
        <v xml:space="preserve">GCBC                               </v>
      </c>
      <c r="F4040" s="13" t="s">
        <v>235</v>
      </c>
      <c r="G4040" s="16"/>
      <c r="H4040" s="14" t="s">
        <v>256</v>
      </c>
      <c r="L4040" s="17"/>
      <c r="M4040" s="17"/>
    </row>
    <row r="4041" spans="1:16" x14ac:dyDescent="0.35">
      <c r="A4041">
        <v>155</v>
      </c>
      <c r="B4041" s="5">
        <v>43981</v>
      </c>
      <c r="C4041" s="15" t="str">
        <f>VLOOKUP(A4041,Inventory!$A$4:$K$1139,2)</f>
        <v>Organic Ethiopian Sidamo 2019 WP Decaf</v>
      </c>
      <c r="F4041" s="18" t="s">
        <v>257</v>
      </c>
      <c r="G4041" s="2" t="s">
        <v>238</v>
      </c>
      <c r="L4041" s="17"/>
      <c r="M4041" s="17"/>
      <c r="P4041" s="8"/>
    </row>
    <row r="4042" spans="1:16" x14ac:dyDescent="0.35">
      <c r="L4042" s="19"/>
      <c r="M4042" s="19"/>
    </row>
    <row r="4043" spans="1:16" x14ac:dyDescent="0.35">
      <c r="C4043" s="11" t="s">
        <v>240</v>
      </c>
      <c r="D4043" s="11" t="s">
        <v>241</v>
      </c>
      <c r="E4043" s="11" t="s">
        <v>426</v>
      </c>
      <c r="F4043" s="11">
        <v>375</v>
      </c>
      <c r="G4043" s="11">
        <v>379</v>
      </c>
      <c r="H4043" s="11">
        <v>384</v>
      </c>
      <c r="I4043" s="11">
        <v>390</v>
      </c>
      <c r="J4043" s="11">
        <v>393</v>
      </c>
      <c r="K4043" s="11"/>
      <c r="L4043" s="11"/>
    </row>
    <row r="4044" spans="1:16" ht="15.75" customHeight="1" x14ac:dyDescent="0.35">
      <c r="B4044" s="20" t="s">
        <v>242</v>
      </c>
      <c r="C4044" s="30"/>
      <c r="D4044" s="30"/>
      <c r="E4044" s="23" t="s">
        <v>244</v>
      </c>
      <c r="F4044" s="23" t="s">
        <v>245</v>
      </c>
      <c r="G4044" s="23" t="s">
        <v>246</v>
      </c>
      <c r="H4044" s="23" t="s">
        <v>247</v>
      </c>
      <c r="I4044" s="23" t="s">
        <v>259</v>
      </c>
      <c r="J4044" s="23" t="s">
        <v>260</v>
      </c>
      <c r="K4044" s="23" t="s">
        <v>261</v>
      </c>
      <c r="O4044" s="4"/>
    </row>
    <row r="4045" spans="1:16" ht="1" customHeight="1" x14ac:dyDescent="0.35">
      <c r="B4045" s="24" t="s">
        <v>249</v>
      </c>
      <c r="C4045" s="25">
        <v>320</v>
      </c>
      <c r="D4045" s="25">
        <v>350</v>
      </c>
      <c r="E4045" s="25">
        <v>377</v>
      </c>
      <c r="F4045" s="25">
        <v>384</v>
      </c>
      <c r="G4045" s="25">
        <v>388</v>
      </c>
      <c r="H4045" s="25">
        <v>392</v>
      </c>
      <c r="I4045" s="25">
        <v>395</v>
      </c>
      <c r="J4045" s="25">
        <v>415</v>
      </c>
      <c r="K4045" s="25">
        <v>415</v>
      </c>
      <c r="O4045" t="e">
        <f>(O4043-3*O4042)/O4044</f>
        <v>#DIV/0!</v>
      </c>
    </row>
    <row r="4046" spans="1:16" ht="15.75" customHeight="1" x14ac:dyDescent="0.35">
      <c r="B4046" s="20" t="s">
        <v>250</v>
      </c>
      <c r="C4046" s="26">
        <v>0.21527777777777779</v>
      </c>
      <c r="D4046" s="26">
        <v>0.29166666666666669</v>
      </c>
      <c r="E4046" s="26">
        <v>0.3888888888888889</v>
      </c>
      <c r="F4046" s="26">
        <f>E4046+'Lookup Tables'!$N$1</f>
        <v>0.40972222222222221</v>
      </c>
      <c r="G4046" s="26">
        <f>F4046+'Lookup Tables'!$N$1</f>
        <v>0.43055555555555552</v>
      </c>
      <c r="H4046" s="26">
        <f>G4046+'Lookup Tables'!$N$1</f>
        <v>0.45138888888888884</v>
      </c>
      <c r="I4046" s="26">
        <f>H4046+'Lookup Tables'!$N$1</f>
        <v>0.47222222222222215</v>
      </c>
      <c r="J4046" s="26">
        <f>I4046+'Lookup Tables'!$M$1</f>
        <v>0.48263888888888884</v>
      </c>
      <c r="K4046" s="26">
        <f>J4046+'Lookup Tables'!$M$1</f>
        <v>0.49305555555555552</v>
      </c>
      <c r="N4046">
        <f>MAX(F4043:M4043)-O4046</f>
        <v>23</v>
      </c>
      <c r="O4046" t="str">
        <f>RIGHT(E4043,3)</f>
        <v>370</v>
      </c>
    </row>
    <row r="4047" spans="1:16" ht="15.75" customHeight="1" x14ac:dyDescent="0.35">
      <c r="B4047" s="20" t="s">
        <v>251</v>
      </c>
      <c r="C4047" s="27">
        <v>0.2</v>
      </c>
      <c r="D4047" s="27">
        <v>0.5</v>
      </c>
      <c r="E4047" s="27"/>
      <c r="F4047" s="27"/>
      <c r="G4047" s="27"/>
      <c r="H4047" s="27"/>
      <c r="I4047" s="27"/>
      <c r="J4047" s="27"/>
      <c r="K4047" s="25"/>
      <c r="N4047" t="str">
        <f xml:space="preserve">  N4046 &amp; " degrees this time"</f>
        <v>23 degrees this time</v>
      </c>
    </row>
    <row r="4048" spans="1:16" ht="15.75" customHeight="1" x14ac:dyDescent="0.35">
      <c r="B4048" s="20" t="s">
        <v>252</v>
      </c>
      <c r="C4048" s="27">
        <v>0.9</v>
      </c>
      <c r="D4048" s="27">
        <v>0.7</v>
      </c>
      <c r="E4048" s="27">
        <v>0.6</v>
      </c>
      <c r="F4048" s="27"/>
      <c r="G4048" s="27"/>
      <c r="H4048" s="27"/>
      <c r="I4048" s="27"/>
      <c r="J4048" s="27"/>
      <c r="K4048" s="27"/>
    </row>
    <row r="4049" spans="1:16" ht="15.75" customHeight="1" x14ac:dyDescent="0.35">
      <c r="B4049" s="20"/>
      <c r="D4049" s="11"/>
      <c r="E4049" s="11"/>
      <c r="F4049" s="28"/>
      <c r="H4049" s="1"/>
    </row>
    <row r="4050" spans="1:16" ht="15.75" customHeight="1" x14ac:dyDescent="0.35">
      <c r="B4050" s="1" t="s">
        <v>385</v>
      </c>
      <c r="F4050" t="s">
        <v>263</v>
      </c>
      <c r="G4050" s="1"/>
      <c r="K4050" s="9"/>
      <c r="L4050" s="9"/>
      <c r="M4050" s="9"/>
    </row>
    <row r="4051" spans="1:16" ht="15.75" customHeight="1" x14ac:dyDescent="0.35">
      <c r="B4051" s="20" t="s">
        <v>264</v>
      </c>
      <c r="D4051" s="29"/>
      <c r="F4051" t="s">
        <v>265</v>
      </c>
      <c r="G4051" s="1"/>
      <c r="H4051" s="1"/>
      <c r="K4051" s="9" t="s">
        <v>386</v>
      </c>
      <c r="L4051" s="9"/>
      <c r="M4051" s="9"/>
    </row>
    <row r="4052" spans="1:16" ht="15.75" customHeight="1" x14ac:dyDescent="0.35">
      <c r="B4052" s="20" t="s">
        <v>267</v>
      </c>
      <c r="F4052" t="s">
        <v>268</v>
      </c>
      <c r="G4052" s="1"/>
      <c r="H4052" s="1"/>
      <c r="K4052" s="9" t="s">
        <v>254</v>
      </c>
      <c r="L4052" s="9"/>
      <c r="M4052" s="9"/>
    </row>
    <row r="4053" spans="1:16" ht="15.75" customHeight="1" x14ac:dyDescent="0.35">
      <c r="B4053" s="9"/>
      <c r="C4053" s="9"/>
      <c r="D4053" s="9"/>
      <c r="E4053" s="9"/>
      <c r="F4053" s="12"/>
      <c r="G4053" s="12"/>
      <c r="H4053" s="12"/>
      <c r="I4053" s="12"/>
      <c r="J4053" s="12"/>
      <c r="K4053" s="12"/>
      <c r="L4053" s="1"/>
    </row>
    <row r="4054" spans="1:16" ht="15.75" customHeight="1" x14ac:dyDescent="0.35">
      <c r="B4054" s="13"/>
      <c r="C4054" s="13"/>
      <c r="D4054" s="15"/>
      <c r="H4054" s="14" t="s">
        <v>255</v>
      </c>
    </row>
    <row r="4055" spans="1:16" x14ac:dyDescent="0.35">
      <c r="B4055" s="13" t="s">
        <v>5</v>
      </c>
      <c r="C4055" s="13" t="s">
        <v>1</v>
      </c>
      <c r="D4055" s="15" t="str">
        <f>VLOOKUP(A4056,Inventory!$A$4:$K$1139,7)</f>
        <v xml:space="preserve">GCBC                               </v>
      </c>
      <c r="F4055" s="13" t="s">
        <v>235</v>
      </c>
      <c r="G4055" s="16"/>
      <c r="L4055" s="17"/>
      <c r="M4055" s="17"/>
    </row>
    <row r="4056" spans="1:16" x14ac:dyDescent="0.35">
      <c r="A4056">
        <v>146</v>
      </c>
      <c r="B4056" s="5">
        <v>43973</v>
      </c>
      <c r="C4056" s="15" t="str">
        <f>VLOOKUP(A4056,Inventory!$A$4:$K$1139,2)</f>
        <v>Ethiopia Hambela Guji Oromia Guracho 2018</v>
      </c>
      <c r="F4056" s="31" t="s">
        <v>291</v>
      </c>
      <c r="G4056" s="2" t="s">
        <v>286</v>
      </c>
      <c r="L4056" s="17"/>
      <c r="M4056" s="17"/>
      <c r="P4056" s="8"/>
    </row>
    <row r="4057" spans="1:16" x14ac:dyDescent="0.35">
      <c r="G4057" s="16"/>
      <c r="L4057" s="19"/>
      <c r="M4057" s="36"/>
    </row>
    <row r="4058" spans="1:16" x14ac:dyDescent="0.35">
      <c r="B4058" s="20"/>
      <c r="C4058" s="11" t="s">
        <v>240</v>
      </c>
      <c r="D4058" s="11" t="s">
        <v>272</v>
      </c>
      <c r="E4058" s="11" t="s">
        <v>505</v>
      </c>
      <c r="F4058" s="11">
        <v>389</v>
      </c>
      <c r="G4058" s="11">
        <v>399</v>
      </c>
      <c r="H4058" s="11">
        <v>408</v>
      </c>
      <c r="I4058" s="11">
        <v>411</v>
      </c>
      <c r="J4058" s="11"/>
      <c r="K4058" s="11"/>
      <c r="L4058" s="28"/>
    </row>
    <row r="4059" spans="1:16" ht="15.75" customHeight="1" x14ac:dyDescent="0.35">
      <c r="B4059" s="20" t="s">
        <v>242</v>
      </c>
      <c r="C4059" s="30"/>
      <c r="D4059" s="30"/>
      <c r="E4059" s="23" t="s">
        <v>244</v>
      </c>
      <c r="F4059" s="23" t="s">
        <v>245</v>
      </c>
      <c r="G4059" s="23" t="s">
        <v>246</v>
      </c>
      <c r="H4059" s="23" t="s">
        <v>247</v>
      </c>
      <c r="I4059" s="23" t="s">
        <v>248</v>
      </c>
      <c r="O4059" s="4"/>
    </row>
    <row r="4060" spans="1:16" ht="1" customHeight="1" x14ac:dyDescent="0.35">
      <c r="B4060" s="24" t="s">
        <v>249</v>
      </c>
      <c r="C4060" s="25"/>
      <c r="D4060" s="25"/>
      <c r="E4060" s="25"/>
      <c r="F4060" s="25"/>
      <c r="G4060" s="25"/>
      <c r="H4060" s="25"/>
      <c r="I4060" s="25"/>
      <c r="O4060" t="e">
        <f>(O4058-3*O4057)/O4059</f>
        <v>#DIV/0!</v>
      </c>
    </row>
    <row r="4061" spans="1:16" ht="15.75" customHeight="1" x14ac:dyDescent="0.35">
      <c r="B4061" s="20" t="s">
        <v>250</v>
      </c>
      <c r="C4061" s="26">
        <v>0.19097222222222221</v>
      </c>
      <c r="D4061" s="26">
        <v>0.27777777777777779</v>
      </c>
      <c r="E4061" s="26">
        <v>0.37152777777777773</v>
      </c>
      <c r="F4061" s="26">
        <f>E4061+'Lookup Tables'!$N$1</f>
        <v>0.39236111111111105</v>
      </c>
      <c r="G4061" s="26">
        <f>F4061+'Lookup Tables'!$N$1</f>
        <v>0.41319444444444436</v>
      </c>
      <c r="H4061" s="26">
        <f>G4061+'Lookup Tables'!$N$1</f>
        <v>0.43402777777777768</v>
      </c>
      <c r="I4061" s="26">
        <f>H4061+'Lookup Tables'!$S$1</f>
        <v>0.44444444444444436</v>
      </c>
      <c r="N4061">
        <f>MAX(F4058:M4058)-O4061</f>
        <v>33</v>
      </c>
      <c r="O4061" t="str">
        <f>RIGHT(E4058,3)</f>
        <v>378</v>
      </c>
    </row>
    <row r="4062" spans="1:16" ht="15.75" customHeight="1" x14ac:dyDescent="0.35">
      <c r="B4062" s="20" t="s">
        <v>251</v>
      </c>
      <c r="C4062" s="27">
        <v>0.2</v>
      </c>
      <c r="D4062" s="27">
        <v>0.5</v>
      </c>
      <c r="E4062" s="27"/>
      <c r="F4062" s="27"/>
      <c r="G4062" s="27"/>
      <c r="H4062" s="25"/>
      <c r="I4062" s="25"/>
      <c r="N4062" t="str">
        <f xml:space="preserve">  N4061 &amp; " degrees this time"</f>
        <v>33 degrees this time</v>
      </c>
    </row>
    <row r="4063" spans="1:16" ht="15.75" customHeight="1" x14ac:dyDescent="0.35">
      <c r="B4063" s="20" t="s">
        <v>252</v>
      </c>
      <c r="C4063" s="27">
        <v>0.9</v>
      </c>
      <c r="D4063" s="27">
        <v>0.8</v>
      </c>
      <c r="E4063" s="27"/>
      <c r="F4063" s="27"/>
      <c r="G4063" s="27"/>
      <c r="H4063" s="27" t="s">
        <v>275</v>
      </c>
      <c r="I4063" s="27" t="s">
        <v>275</v>
      </c>
    </row>
    <row r="4064" spans="1:16" ht="15.75" customHeight="1" x14ac:dyDescent="0.35">
      <c r="B4064" s="20"/>
      <c r="C4064" s="30"/>
      <c r="D4064" s="11"/>
      <c r="E4064" s="1"/>
      <c r="F4064" s="11"/>
      <c r="G4064" s="11"/>
      <c r="H4064" s="11"/>
      <c r="J4064" s="37"/>
    </row>
    <row r="4065" spans="1:16" ht="15.75" customHeight="1" x14ac:dyDescent="0.35">
      <c r="B4065" s="38"/>
      <c r="D4065" s="11"/>
      <c r="E4065" s="11"/>
      <c r="F4065" s="11"/>
      <c r="G4065" s="1" t="s">
        <v>483</v>
      </c>
      <c r="K4065" s="9" t="s">
        <v>506</v>
      </c>
      <c r="L4065" s="9"/>
      <c r="M4065" s="9"/>
    </row>
    <row r="4066" spans="1:16" ht="15.75" customHeight="1" x14ac:dyDescent="0.35">
      <c r="B4066" s="20"/>
      <c r="G4066" s="1"/>
      <c r="H4066" s="1"/>
      <c r="K4066" s="9"/>
      <c r="L4066" s="9"/>
      <c r="M4066" s="9"/>
    </row>
    <row r="4067" spans="1:16" ht="15.75" customHeight="1" x14ac:dyDescent="0.35">
      <c r="B4067" s="20"/>
      <c r="G4067" s="1"/>
      <c r="H4067" s="1"/>
      <c r="K4067" s="9" t="s">
        <v>254</v>
      </c>
      <c r="L4067" s="9"/>
      <c r="M4067" s="9"/>
    </row>
    <row r="4068" spans="1:16" ht="15.75" customHeight="1" x14ac:dyDescent="0.35">
      <c r="B4068" s="9"/>
      <c r="C4068" s="9"/>
      <c r="D4068" s="9"/>
      <c r="E4068" s="9"/>
      <c r="F4068" s="12"/>
      <c r="G4068" s="12"/>
      <c r="H4068" s="12"/>
      <c r="I4068" s="12"/>
      <c r="J4068" s="12"/>
      <c r="K4068" s="12"/>
      <c r="L4068" s="1"/>
    </row>
    <row r="4069" spans="1:16" ht="15.75" customHeight="1" x14ac:dyDescent="0.35">
      <c r="B4069" s="13"/>
      <c r="C4069" s="13"/>
      <c r="D4069" s="13"/>
      <c r="E4069" s="13"/>
      <c r="F4069" s="13"/>
      <c r="G4069" s="13"/>
      <c r="H4069" s="14"/>
      <c r="I4069" s="13"/>
    </row>
    <row r="4070" spans="1:16" x14ac:dyDescent="0.35">
      <c r="B4070" s="13" t="s">
        <v>5</v>
      </c>
      <c r="C4070" s="13" t="s">
        <v>1</v>
      </c>
      <c r="D4070" s="15" t="str">
        <f>VLOOKUP(A4071,Inventory!$A$4:$K$1139,7)</f>
        <v xml:space="preserve">GCBC                               </v>
      </c>
      <c r="F4070" s="13" t="s">
        <v>235</v>
      </c>
      <c r="G4070" s="16"/>
      <c r="J4070" s="8"/>
      <c r="K4070" s="17"/>
      <c r="L4070" s="17"/>
      <c r="M4070" s="17"/>
    </row>
    <row r="4071" spans="1:16" x14ac:dyDescent="0.35">
      <c r="A4071">
        <v>148</v>
      </c>
      <c r="B4071" s="5">
        <v>43973</v>
      </c>
      <c r="C4071" s="15" t="str">
        <f>VLOOKUP(A4071,Inventory!$A$4:$K$1139,2)</f>
        <v>Costa Rica - La Pastora Tarrazu 2018</v>
      </c>
      <c r="F4071" s="34" t="s">
        <v>279</v>
      </c>
      <c r="G4071" s="2" t="s">
        <v>270</v>
      </c>
      <c r="K4071" s="17"/>
      <c r="L4071" s="17"/>
      <c r="M4071" s="17"/>
      <c r="P4071" s="8"/>
    </row>
    <row r="4072" spans="1:16" x14ac:dyDescent="0.35">
      <c r="G4072" s="16"/>
      <c r="J4072" s="19"/>
      <c r="K4072" s="19"/>
      <c r="L4072" s="19"/>
      <c r="M4072" s="19"/>
    </row>
    <row r="4073" spans="1:16" x14ac:dyDescent="0.35">
      <c r="B4073" s="20"/>
      <c r="C4073" s="11" t="s">
        <v>240</v>
      </c>
      <c r="D4073" s="11" t="s">
        <v>272</v>
      </c>
      <c r="E4073" s="11" t="s">
        <v>430</v>
      </c>
      <c r="F4073" s="11">
        <v>376</v>
      </c>
      <c r="G4073" s="11">
        <v>384</v>
      </c>
      <c r="H4073" s="11">
        <v>395</v>
      </c>
      <c r="I4073" s="11"/>
      <c r="J4073" s="11"/>
      <c r="K4073" s="11"/>
      <c r="L4073" s="28"/>
    </row>
    <row r="4074" spans="1:16" ht="15.75" customHeight="1" x14ac:dyDescent="0.35">
      <c r="B4074" s="20" t="s">
        <v>242</v>
      </c>
      <c r="C4074" s="30"/>
      <c r="D4074" s="30"/>
      <c r="E4074" s="23" t="s">
        <v>244</v>
      </c>
      <c r="F4074" s="23" t="s">
        <v>245</v>
      </c>
      <c r="G4074" s="23" t="s">
        <v>246</v>
      </c>
      <c r="H4074" s="23" t="s">
        <v>247</v>
      </c>
      <c r="I4074" s="23" t="s">
        <v>259</v>
      </c>
      <c r="O4074" s="4"/>
    </row>
    <row r="4075" spans="1:16" ht="1" customHeight="1" x14ac:dyDescent="0.35">
      <c r="B4075" s="24" t="s">
        <v>249</v>
      </c>
      <c r="C4075" s="25"/>
      <c r="D4075" s="25"/>
      <c r="E4075" s="25"/>
      <c r="F4075" s="25"/>
      <c r="G4075" s="25"/>
      <c r="H4075" s="25"/>
      <c r="I4075" s="25"/>
      <c r="O4075" t="e">
        <f>(O4073-3*O4072)/O4074</f>
        <v>#DIV/0!</v>
      </c>
    </row>
    <row r="4076" spans="1:16" ht="15.75" customHeight="1" x14ac:dyDescent="0.35">
      <c r="B4076" s="20" t="s">
        <v>250</v>
      </c>
      <c r="C4076" s="26">
        <v>0.22569444444444445</v>
      </c>
      <c r="D4076" s="26">
        <v>0.30555555555555552</v>
      </c>
      <c r="E4076" s="26">
        <v>0.375</v>
      </c>
      <c r="F4076" s="26">
        <f>E4076+'Lookup Tables'!$N$1</f>
        <v>0.39583333333333331</v>
      </c>
      <c r="G4076" s="26">
        <f>F4076+'Lookup Tables'!$N$1</f>
        <v>0.41666666666666663</v>
      </c>
      <c r="H4076" s="26">
        <f>G4076+'Lookup Tables'!$N$1</f>
        <v>0.43749999999999994</v>
      </c>
      <c r="I4076" s="26">
        <f>H4076+'Lookup Tables'!$N$1</f>
        <v>0.45833333333333326</v>
      </c>
      <c r="N4076">
        <f>MAX(F4073:M4073)-O4076</f>
        <v>27</v>
      </c>
      <c r="O4076" t="str">
        <f>RIGHT(E4073,3)</f>
        <v>368</v>
      </c>
    </row>
    <row r="4077" spans="1:16" ht="15.75" customHeight="1" x14ac:dyDescent="0.35">
      <c r="B4077" s="20" t="s">
        <v>251</v>
      </c>
      <c r="C4077" s="27">
        <v>0.2</v>
      </c>
      <c r="D4077" s="27">
        <v>0.5</v>
      </c>
      <c r="E4077" s="25"/>
      <c r="F4077" s="27"/>
      <c r="G4077" s="27"/>
      <c r="H4077" s="25" t="s">
        <v>274</v>
      </c>
      <c r="I4077" s="27"/>
      <c r="N4077" t="str">
        <f xml:space="preserve">  N4076 &amp; " degrees this time"</f>
        <v>27 degrees this time</v>
      </c>
    </row>
    <row r="4078" spans="1:16" ht="15.75" customHeight="1" x14ac:dyDescent="0.35">
      <c r="B4078" s="20" t="s">
        <v>252</v>
      </c>
      <c r="C4078" s="27">
        <v>0.9</v>
      </c>
      <c r="D4078" s="27">
        <v>0.8</v>
      </c>
      <c r="E4078" s="27">
        <v>0.6</v>
      </c>
      <c r="F4078" s="27"/>
      <c r="G4078" s="27"/>
      <c r="H4078" s="25" t="s">
        <v>274</v>
      </c>
      <c r="I4078" s="27" t="s">
        <v>275</v>
      </c>
    </row>
    <row r="4079" spans="1:16" ht="15.75" customHeight="1" x14ac:dyDescent="0.35">
      <c r="B4079" s="20"/>
      <c r="C4079" s="30"/>
      <c r="D4079" s="11"/>
      <c r="E4079" s="11"/>
      <c r="F4079" s="11"/>
      <c r="G4079" s="1"/>
      <c r="H4079" s="1"/>
      <c r="I4079" s="1"/>
    </row>
    <row r="4080" spans="1:16" ht="15.75" customHeight="1" x14ac:dyDescent="0.35">
      <c r="B4080" s="20"/>
      <c r="C4080" s="30"/>
      <c r="D4080" s="11"/>
      <c r="E4080" s="11"/>
      <c r="F4080" s="11"/>
      <c r="G4080" s="1" t="s">
        <v>515</v>
      </c>
      <c r="K4080" s="32" t="s">
        <v>527</v>
      </c>
      <c r="L4080" s="9"/>
      <c r="M4080" s="9"/>
    </row>
    <row r="4081" spans="1:16" ht="15.75" customHeight="1" x14ac:dyDescent="0.35">
      <c r="B4081" s="20"/>
      <c r="G4081" s="1"/>
      <c r="H4081" s="1"/>
      <c r="K4081" s="32"/>
      <c r="L4081" s="9"/>
      <c r="M4081" s="9"/>
    </row>
    <row r="4082" spans="1:16" ht="15.75" customHeight="1" x14ac:dyDescent="0.35">
      <c r="B4082" s="20"/>
      <c r="G4082" s="1"/>
      <c r="H4082" s="1"/>
      <c r="K4082" s="9" t="s">
        <v>254</v>
      </c>
      <c r="L4082" s="9"/>
      <c r="M4082" s="9"/>
    </row>
    <row r="4083" spans="1:16" ht="15.75" customHeight="1" x14ac:dyDescent="0.35">
      <c r="B4083" s="9"/>
      <c r="C4083" s="9"/>
      <c r="D4083" s="9"/>
      <c r="E4083" s="9"/>
      <c r="F4083" s="12"/>
      <c r="G4083" s="12"/>
      <c r="H4083" s="12"/>
      <c r="I4083" s="12"/>
      <c r="J4083" s="12"/>
      <c r="K4083" s="12"/>
      <c r="L4083" s="1"/>
    </row>
    <row r="4084" spans="1:16" ht="15.75" customHeight="1" x14ac:dyDescent="0.35">
      <c r="B4084" s="13"/>
      <c r="C4084" s="13"/>
      <c r="D4084" s="15"/>
      <c r="F4084" s="33" t="s">
        <v>298</v>
      </c>
      <c r="G4084" s="16"/>
      <c r="H4084" s="14" t="s">
        <v>255</v>
      </c>
      <c r="I4084" s="14"/>
    </row>
    <row r="4085" spans="1:16" x14ac:dyDescent="0.35">
      <c r="B4085" s="13" t="s">
        <v>5</v>
      </c>
      <c r="C4085" s="13" t="s">
        <v>1</v>
      </c>
      <c r="D4085" s="15" t="str">
        <f>VLOOKUP(A4086,Inventory!$A$4:$K$1139,7)</f>
        <v xml:space="preserve">Sweet Marias                       </v>
      </c>
      <c r="F4085" s="13" t="s">
        <v>235</v>
      </c>
      <c r="G4085" s="16"/>
      <c r="L4085" s="17"/>
      <c r="M4085" s="17"/>
    </row>
    <row r="4086" spans="1:16" x14ac:dyDescent="0.35">
      <c r="A4086">
        <v>153</v>
      </c>
      <c r="B4086" s="5">
        <v>43973</v>
      </c>
      <c r="C4086" s="15" t="str">
        <f>VLOOKUP(A4086,Inventory!$A$4:$K$1139,2)</f>
        <v>Yemen Mokha Matari 2019</v>
      </c>
      <c r="F4086" s="31" t="s">
        <v>291</v>
      </c>
      <c r="G4086" s="2" t="s">
        <v>286</v>
      </c>
      <c r="L4086" s="17"/>
      <c r="M4086" s="17"/>
      <c r="P4086" s="8"/>
    </row>
    <row r="4087" spans="1:16" x14ac:dyDescent="0.35">
      <c r="B4087" t="s">
        <v>16</v>
      </c>
      <c r="G4087" s="16"/>
      <c r="L4087" s="19"/>
      <c r="M4087" s="19"/>
    </row>
    <row r="4088" spans="1:16" x14ac:dyDescent="0.35">
      <c r="B4088" s="20"/>
      <c r="C4088" s="11" t="s">
        <v>240</v>
      </c>
      <c r="D4088" s="11" t="s">
        <v>272</v>
      </c>
      <c r="E4088" s="11" t="s">
        <v>528</v>
      </c>
      <c r="F4088" s="11">
        <v>388</v>
      </c>
      <c r="G4088" s="11">
        <v>395</v>
      </c>
      <c r="H4088" s="11">
        <v>399</v>
      </c>
      <c r="I4088" s="11">
        <v>401</v>
      </c>
      <c r="J4088" s="11"/>
      <c r="K4088" s="11"/>
      <c r="L4088" s="28"/>
    </row>
    <row r="4089" spans="1:16" ht="15.75" customHeight="1" x14ac:dyDescent="0.35">
      <c r="B4089" s="20" t="s">
        <v>242</v>
      </c>
      <c r="C4089" s="21"/>
      <c r="D4089" s="22" t="s">
        <v>294</v>
      </c>
      <c r="E4089" s="23" t="s">
        <v>244</v>
      </c>
      <c r="F4089" s="23" t="s">
        <v>245</v>
      </c>
      <c r="G4089" s="23" t="s">
        <v>246</v>
      </c>
      <c r="H4089" s="23" t="s">
        <v>273</v>
      </c>
      <c r="I4089" s="23" t="s">
        <v>247</v>
      </c>
      <c r="O4089" s="4"/>
    </row>
    <row r="4090" spans="1:16" ht="1" customHeight="1" x14ac:dyDescent="0.35">
      <c r="B4090" s="24" t="s">
        <v>249</v>
      </c>
      <c r="C4090" s="25">
        <v>320</v>
      </c>
      <c r="D4090" s="25">
        <v>350</v>
      </c>
      <c r="E4090" s="25"/>
      <c r="F4090" s="25"/>
      <c r="G4090" s="25"/>
      <c r="H4090" s="23" t="s">
        <v>247</v>
      </c>
      <c r="I4090" s="25"/>
      <c r="O4090" t="e">
        <f>(O4088-3*O4087)/O4089</f>
        <v>#DIV/0!</v>
      </c>
    </row>
    <row r="4091" spans="1:16" ht="15.75" customHeight="1" x14ac:dyDescent="0.35">
      <c r="B4091" s="20" t="s">
        <v>250</v>
      </c>
      <c r="C4091" s="26">
        <v>0.18402777777777779</v>
      </c>
      <c r="D4091" s="26">
        <v>0.27430555555555552</v>
      </c>
      <c r="E4091" s="26">
        <v>0.37847222222222227</v>
      </c>
      <c r="F4091" s="26">
        <f>E4091+'Lookup Tables'!$N$1</f>
        <v>0.39930555555555558</v>
      </c>
      <c r="G4091" s="26">
        <f>F4091+'Lookup Tables'!$N$1</f>
        <v>0.4201388888888889</v>
      </c>
      <c r="H4091" s="26">
        <f>G4091+'Lookup Tables'!$S$1</f>
        <v>0.43055555555555558</v>
      </c>
      <c r="I4091" s="26">
        <f>H4091+'Lookup Tables'!$S$1</f>
        <v>0.44097222222222227</v>
      </c>
      <c r="J4091" s="11"/>
      <c r="K4091" s="11"/>
      <c r="N4091">
        <f>MAX(F4088:M4088)-O4091</f>
        <v>22</v>
      </c>
      <c r="O4091" t="str">
        <f>RIGHT(E4088,3)</f>
        <v>379</v>
      </c>
    </row>
    <row r="4092" spans="1:16" ht="15.75" customHeight="1" x14ac:dyDescent="0.35">
      <c r="B4092" s="20" t="s">
        <v>251</v>
      </c>
      <c r="C4092" s="27">
        <v>0.2</v>
      </c>
      <c r="D4092" s="27">
        <v>0.5</v>
      </c>
      <c r="E4092" s="27"/>
      <c r="F4092" s="27"/>
      <c r="G4092" s="27">
        <v>0.25</v>
      </c>
      <c r="H4092" s="27"/>
      <c r="I4092" s="27"/>
      <c r="N4092" t="str">
        <f xml:space="preserve">  N4091 &amp; " degrees this time"</f>
        <v>22 degrees this time</v>
      </c>
    </row>
    <row r="4093" spans="1:16" ht="15.75" customHeight="1" x14ac:dyDescent="0.35">
      <c r="B4093" s="20" t="s">
        <v>252</v>
      </c>
      <c r="C4093" s="27">
        <v>0.9</v>
      </c>
      <c r="D4093" s="27">
        <v>0.7</v>
      </c>
      <c r="E4093" s="27">
        <v>0.6</v>
      </c>
      <c r="F4093" s="27"/>
      <c r="G4093" s="27"/>
      <c r="H4093" s="27"/>
      <c r="I4093" s="27" t="s">
        <v>275</v>
      </c>
    </row>
    <row r="4094" spans="1:16" ht="15.75" customHeight="1" x14ac:dyDescent="0.35">
      <c r="B4094" s="20"/>
      <c r="D4094" s="11"/>
      <c r="E4094" s="40"/>
      <c r="F4094" s="11"/>
      <c r="G4094" s="11"/>
      <c r="K4094" s="9" t="s">
        <v>516</v>
      </c>
      <c r="L4094" s="9"/>
      <c r="M4094" s="9"/>
    </row>
    <row r="4095" spans="1:16" ht="15.75" customHeight="1" x14ac:dyDescent="0.35">
      <c r="B4095" s="38"/>
      <c r="D4095" s="15"/>
      <c r="F4095" s="13"/>
      <c r="G4095" s="1" t="s">
        <v>296</v>
      </c>
      <c r="K4095" s="32"/>
      <c r="L4095" s="9"/>
      <c r="M4095" s="9"/>
    </row>
    <row r="4096" spans="1:16" ht="15.75" customHeight="1" x14ac:dyDescent="0.35">
      <c r="B4096" s="20"/>
      <c r="G4096" s="1"/>
      <c r="H4096" s="1"/>
      <c r="K4096" s="9"/>
      <c r="L4096" s="9"/>
      <c r="M4096" s="9"/>
    </row>
    <row r="4097" spans="1:16" ht="15.75" customHeight="1" x14ac:dyDescent="0.35">
      <c r="B4097" s="20"/>
      <c r="G4097" s="1"/>
      <c r="H4097" s="1"/>
      <c r="K4097" s="9" t="s">
        <v>297</v>
      </c>
      <c r="L4097" s="9"/>
      <c r="M4097" s="9"/>
    </row>
    <row r="4098" spans="1:16" ht="15.75" customHeight="1" x14ac:dyDescent="0.35">
      <c r="B4098" s="9"/>
      <c r="C4098" s="9"/>
      <c r="D4098" s="9"/>
      <c r="E4098" s="9"/>
      <c r="F4098" s="12"/>
      <c r="G4098" s="12"/>
      <c r="H4098" s="12"/>
      <c r="I4098" s="12"/>
      <c r="J4098" s="12"/>
      <c r="K4098" s="12"/>
      <c r="L4098" s="1"/>
    </row>
    <row r="4099" spans="1:16" ht="15.75" customHeight="1" x14ac:dyDescent="0.35">
      <c r="B4099" s="13"/>
      <c r="C4099" s="13"/>
      <c r="D4099" s="15"/>
      <c r="F4099" s="33" t="s">
        <v>298</v>
      </c>
      <c r="G4099" s="16"/>
      <c r="I4099" s="14"/>
    </row>
    <row r="4100" spans="1:16" x14ac:dyDescent="0.35">
      <c r="B4100" s="13" t="s">
        <v>5</v>
      </c>
      <c r="C4100" s="13" t="s">
        <v>1</v>
      </c>
      <c r="D4100" s="15" t="str">
        <f>VLOOKUP(A4101,Inventory!$A$4:$K$1139,7)</f>
        <v>Coffee Bean corral</v>
      </c>
      <c r="F4100" s="13" t="s">
        <v>235</v>
      </c>
      <c r="G4100" s="16"/>
      <c r="L4100" s="17"/>
      <c r="M4100" s="17"/>
    </row>
    <row r="4101" spans="1:16" x14ac:dyDescent="0.35">
      <c r="A4101">
        <v>151</v>
      </c>
      <c r="B4101" s="5">
        <v>43973</v>
      </c>
      <c r="C4101" s="15" t="str">
        <f>VLOOKUP(A4101,Inventory!$A$4:$K$1139,2)</f>
        <v>Yemen Mocca Ismaili Natural 2018</v>
      </c>
      <c r="F4101" s="34" t="s">
        <v>279</v>
      </c>
      <c r="G4101" s="2" t="s">
        <v>286</v>
      </c>
      <c r="L4101" s="17"/>
      <c r="M4101" s="17"/>
      <c r="P4101" s="8"/>
    </row>
    <row r="4102" spans="1:16" x14ac:dyDescent="0.35">
      <c r="B4102" t="s">
        <v>16</v>
      </c>
      <c r="G4102" s="16"/>
      <c r="L4102" s="19"/>
      <c r="M4102" s="19"/>
    </row>
    <row r="4103" spans="1:16" x14ac:dyDescent="0.35">
      <c r="B4103" s="20"/>
      <c r="C4103" s="11" t="s">
        <v>240</v>
      </c>
      <c r="D4103" s="11" t="s">
        <v>272</v>
      </c>
      <c r="E4103" s="11" t="s">
        <v>462</v>
      </c>
      <c r="F4103" s="11">
        <v>386</v>
      </c>
      <c r="G4103" s="11">
        <v>394</v>
      </c>
      <c r="H4103" s="11">
        <v>396</v>
      </c>
      <c r="I4103" s="11"/>
      <c r="J4103" s="11"/>
      <c r="K4103" s="11"/>
      <c r="L4103" s="28"/>
    </row>
    <row r="4104" spans="1:16" ht="15.75" customHeight="1" x14ac:dyDescent="0.35">
      <c r="B4104" s="20" t="s">
        <v>242</v>
      </c>
      <c r="C4104" s="21"/>
      <c r="D4104" s="22" t="s">
        <v>294</v>
      </c>
      <c r="E4104" s="23" t="s">
        <v>244</v>
      </c>
      <c r="F4104" s="23" t="s">
        <v>245</v>
      </c>
      <c r="G4104" s="23" t="s">
        <v>246</v>
      </c>
      <c r="H4104" s="23" t="s">
        <v>273</v>
      </c>
      <c r="I4104" s="23" t="s">
        <v>247</v>
      </c>
      <c r="O4104" s="4"/>
    </row>
    <row r="4105" spans="1:16" ht="1" customHeight="1" x14ac:dyDescent="0.35">
      <c r="B4105" s="24" t="s">
        <v>249</v>
      </c>
      <c r="C4105" s="25">
        <v>320</v>
      </c>
      <c r="D4105" s="25">
        <v>350</v>
      </c>
      <c r="E4105" s="25"/>
      <c r="F4105" s="25"/>
      <c r="G4105" s="25"/>
      <c r="H4105" s="23" t="s">
        <v>247</v>
      </c>
      <c r="I4105" s="25"/>
      <c r="O4105" t="e">
        <f>(O4103-3*O4102)/O4104</f>
        <v>#DIV/0!</v>
      </c>
    </row>
    <row r="4106" spans="1:16" ht="15.75" customHeight="1" x14ac:dyDescent="0.35">
      <c r="B4106" s="20" t="s">
        <v>250</v>
      </c>
      <c r="C4106" s="26">
        <v>0.21527777777777779</v>
      </c>
      <c r="D4106" s="26">
        <v>0.30208333333333331</v>
      </c>
      <c r="E4106" s="26">
        <v>0.3923611111111111</v>
      </c>
      <c r="F4106" s="26">
        <f>E4106+'Lookup Tables'!$N$1</f>
        <v>0.41319444444444442</v>
      </c>
      <c r="G4106" s="26">
        <f>F4106+'Lookup Tables'!$N$1</f>
        <v>0.43402777777777773</v>
      </c>
      <c r="H4106" s="26">
        <f>G4106+'Lookup Tables'!$S$1</f>
        <v>0.44444444444444442</v>
      </c>
      <c r="I4106" s="26">
        <f>H4106+'Lookup Tables'!$S$1</f>
        <v>0.4548611111111111</v>
      </c>
      <c r="J4106" s="11"/>
      <c r="K4106" s="11"/>
      <c r="N4106">
        <f>MAX(F4103:M4103)-O4106</f>
        <v>19</v>
      </c>
      <c r="O4106" t="str">
        <f>RIGHT(E4103,3)</f>
        <v>377</v>
      </c>
    </row>
    <row r="4107" spans="1:16" ht="15.75" customHeight="1" x14ac:dyDescent="0.35">
      <c r="B4107" s="20" t="s">
        <v>251</v>
      </c>
      <c r="C4107" s="27">
        <v>0.2</v>
      </c>
      <c r="D4107" s="27">
        <v>0.5</v>
      </c>
      <c r="E4107" s="27"/>
      <c r="F4107" s="27"/>
      <c r="G4107" s="27">
        <v>0.25</v>
      </c>
      <c r="H4107" s="27"/>
      <c r="I4107" s="27"/>
      <c r="N4107" t="str">
        <f xml:space="preserve">  N4106 &amp; " degrees this time"</f>
        <v>19 degrees this time</v>
      </c>
    </row>
    <row r="4108" spans="1:16" ht="15.75" customHeight="1" x14ac:dyDescent="0.35">
      <c r="B4108" s="20" t="s">
        <v>252</v>
      </c>
      <c r="C4108" s="27">
        <v>0.9</v>
      </c>
      <c r="D4108" s="27">
        <v>0.7</v>
      </c>
      <c r="E4108" s="27">
        <v>0.4</v>
      </c>
      <c r="F4108" s="27"/>
      <c r="G4108" s="27"/>
      <c r="H4108" s="27" t="s">
        <v>275</v>
      </c>
      <c r="I4108" s="27" t="s">
        <v>275</v>
      </c>
    </row>
    <row r="4109" spans="1:16" ht="15.75" customHeight="1" x14ac:dyDescent="0.35">
      <c r="B4109" s="20"/>
      <c r="D4109" s="11"/>
      <c r="E4109" s="40"/>
      <c r="F4109" s="11"/>
      <c r="G4109" s="11"/>
      <c r="K4109" s="32" t="s">
        <v>507</v>
      </c>
      <c r="L4109" s="9"/>
      <c r="M4109" s="9"/>
    </row>
    <row r="4110" spans="1:16" ht="15.75" customHeight="1" x14ac:dyDescent="0.35">
      <c r="B4110" s="38"/>
      <c r="D4110" s="15"/>
      <c r="F4110" s="13"/>
      <c r="G4110" s="1" t="s">
        <v>514</v>
      </c>
      <c r="K4110" s="32"/>
      <c r="L4110" s="9"/>
      <c r="M4110" s="9"/>
    </row>
    <row r="4111" spans="1:16" ht="15.75" customHeight="1" x14ac:dyDescent="0.35">
      <c r="B4111" s="20"/>
      <c r="G4111" s="1"/>
      <c r="H4111" s="1"/>
      <c r="K4111" s="9"/>
      <c r="L4111" s="9"/>
      <c r="M4111" s="9"/>
    </row>
    <row r="4112" spans="1:16" ht="15.75" customHeight="1" x14ac:dyDescent="0.35">
      <c r="B4112" s="20"/>
      <c r="G4112" s="1"/>
      <c r="H4112" s="1"/>
      <c r="K4112" s="9" t="s">
        <v>297</v>
      </c>
      <c r="L4112" s="9"/>
      <c r="M4112" s="9"/>
    </row>
    <row r="4113" spans="1:16" ht="15.75" customHeight="1" x14ac:dyDescent="0.35">
      <c r="B4113" s="9"/>
      <c r="C4113" s="9"/>
      <c r="D4113" s="9"/>
      <c r="E4113" s="9"/>
      <c r="F4113" s="12"/>
      <c r="G4113" s="12"/>
      <c r="H4113" s="12"/>
      <c r="I4113" s="12"/>
      <c r="J4113" s="12"/>
      <c r="K4113" s="12"/>
      <c r="L4113" s="1"/>
    </row>
    <row r="4114" spans="1:16" ht="15.75" customHeight="1" x14ac:dyDescent="0.35">
      <c r="B4114" s="13"/>
      <c r="C4114" s="13"/>
      <c r="D4114" s="15"/>
    </row>
    <row r="4115" spans="1:16" x14ac:dyDescent="0.35">
      <c r="B4115" s="13" t="s">
        <v>5</v>
      </c>
      <c r="C4115" s="13" t="s">
        <v>1</v>
      </c>
      <c r="D4115" s="15" t="str">
        <f>VLOOKUP(A4116,Inventory!$A$4:$K$1139,7)</f>
        <v xml:space="preserve">Roastmasters                       </v>
      </c>
      <c r="F4115" s="13" t="s">
        <v>235</v>
      </c>
      <c r="G4115" s="16"/>
      <c r="L4115" s="17"/>
      <c r="M4115" s="17"/>
    </row>
    <row r="4116" spans="1:16" x14ac:dyDescent="0.35">
      <c r="A4116">
        <v>150</v>
      </c>
      <c r="B4116" s="5">
        <v>43966</v>
      </c>
      <c r="C4116" s="15" t="str">
        <f>VLOOKUP(A4116,Inventory!$A$4:$K$1139,2)</f>
        <v>Ethiopia Yirgacheffe Reko 2018</v>
      </c>
      <c r="F4116" s="34" t="s">
        <v>279</v>
      </c>
      <c r="G4116" s="2" t="s">
        <v>286</v>
      </c>
      <c r="L4116" s="17"/>
      <c r="M4116" s="17"/>
      <c r="P4116" s="8"/>
    </row>
    <row r="4117" spans="1:16" x14ac:dyDescent="0.35">
      <c r="G4117" s="16"/>
      <c r="L4117" s="19"/>
      <c r="M4117" s="19"/>
    </row>
    <row r="4118" spans="1:16" x14ac:dyDescent="0.35">
      <c r="B4118" s="20"/>
      <c r="C4118" s="11" t="s">
        <v>240</v>
      </c>
      <c r="D4118" s="11" t="s">
        <v>241</v>
      </c>
      <c r="E4118" s="11" t="s">
        <v>427</v>
      </c>
      <c r="F4118" s="11">
        <v>373</v>
      </c>
      <c r="G4118" s="11">
        <v>378</v>
      </c>
      <c r="H4118" s="11">
        <v>387</v>
      </c>
      <c r="I4118" s="11">
        <v>394</v>
      </c>
      <c r="J4118" s="11"/>
      <c r="K4118" s="11"/>
      <c r="L4118" s="28"/>
    </row>
    <row r="4119" spans="1:16" ht="15.75" customHeight="1" x14ac:dyDescent="0.35">
      <c r="B4119" s="20" t="s">
        <v>242</v>
      </c>
      <c r="C4119" s="30"/>
      <c r="D4119" s="30"/>
      <c r="E4119" s="23" t="s">
        <v>244</v>
      </c>
      <c r="F4119" s="23" t="s">
        <v>245</v>
      </c>
      <c r="G4119" s="23" t="s">
        <v>246</v>
      </c>
      <c r="H4119" s="23" t="s">
        <v>247</v>
      </c>
      <c r="I4119" s="23" t="s">
        <v>259</v>
      </c>
      <c r="O4119" s="4"/>
    </row>
    <row r="4120" spans="1:16" ht="1" customHeight="1" x14ac:dyDescent="0.35">
      <c r="B4120" s="24" t="s">
        <v>249</v>
      </c>
      <c r="C4120" s="25"/>
      <c r="D4120" s="25"/>
      <c r="E4120" s="25"/>
      <c r="F4120" s="25"/>
      <c r="G4120" s="25"/>
      <c r="H4120" s="25"/>
      <c r="I4120" s="25"/>
      <c r="O4120" t="e">
        <f>(O4118-3*O4117)/O4119</f>
        <v>#DIV/0!</v>
      </c>
    </row>
    <row r="4121" spans="1:16" ht="15.75" customHeight="1" x14ac:dyDescent="0.35">
      <c r="B4121" s="20" t="s">
        <v>250</v>
      </c>
      <c r="C4121" s="26">
        <v>0.19791666666666666</v>
      </c>
      <c r="D4121" s="26">
        <v>0.27083333333333331</v>
      </c>
      <c r="E4121" s="26">
        <v>0.34375</v>
      </c>
      <c r="F4121" s="26">
        <f>E4121+'Lookup Tables'!$N$1</f>
        <v>0.36458333333333331</v>
      </c>
      <c r="G4121" s="26">
        <f>F4121+'Lookup Tables'!$N$1</f>
        <v>0.38541666666666663</v>
      </c>
      <c r="H4121" s="26">
        <f>G4121+'Lookup Tables'!$N$1</f>
        <v>0.40624999999999994</v>
      </c>
      <c r="I4121" s="26">
        <f>H4121+'Lookup Tables'!$N$1</f>
        <v>0.42708333333333326</v>
      </c>
      <c r="N4121">
        <f>MAX(F4118:M4118)-O4121</f>
        <v>28</v>
      </c>
      <c r="O4121" t="str">
        <f>RIGHT(E4118,3)</f>
        <v>366</v>
      </c>
    </row>
    <row r="4122" spans="1:16" ht="15.75" customHeight="1" x14ac:dyDescent="0.35">
      <c r="B4122" s="20" t="s">
        <v>251</v>
      </c>
      <c r="C4122" s="27">
        <v>0.2</v>
      </c>
      <c r="D4122" s="27">
        <v>0.5</v>
      </c>
      <c r="E4122" s="27"/>
      <c r="F4122" s="27"/>
      <c r="G4122" s="27"/>
      <c r="H4122" s="25"/>
      <c r="I4122" s="27"/>
      <c r="N4122" t="str">
        <f xml:space="preserve">  N4121 &amp; " degrees this time"</f>
        <v>28 degrees this time</v>
      </c>
    </row>
    <row r="4123" spans="1:16" ht="15.75" customHeight="1" x14ac:dyDescent="0.35">
      <c r="B4123" s="20" t="s">
        <v>252</v>
      </c>
      <c r="C4123" s="27">
        <v>0.9</v>
      </c>
      <c r="D4123" s="27">
        <v>0.8</v>
      </c>
      <c r="E4123" s="27"/>
      <c r="F4123" s="27"/>
      <c r="G4123" s="27">
        <v>0.3</v>
      </c>
      <c r="H4123" s="27"/>
      <c r="I4123" s="27" t="s">
        <v>275</v>
      </c>
    </row>
    <row r="4124" spans="1:16" ht="15.75" customHeight="1" x14ac:dyDescent="0.35">
      <c r="B4124" s="20"/>
      <c r="C4124" s="30"/>
      <c r="D4124" s="11"/>
      <c r="E4124" s="1"/>
      <c r="F4124" s="11"/>
      <c r="G4124" s="11"/>
      <c r="H4124" s="11"/>
    </row>
    <row r="4125" spans="1:16" ht="15.75" customHeight="1" x14ac:dyDescent="0.35">
      <c r="B4125" s="38"/>
      <c r="D4125" s="11"/>
      <c r="E4125" s="11"/>
      <c r="F4125" s="11"/>
      <c r="G4125" s="1" t="s">
        <v>292</v>
      </c>
      <c r="K4125" s="9" t="s">
        <v>431</v>
      </c>
      <c r="L4125" s="9"/>
      <c r="M4125" s="9"/>
    </row>
    <row r="4126" spans="1:16" ht="15.75" customHeight="1" x14ac:dyDescent="0.35">
      <c r="B4126" s="20"/>
      <c r="G4126" s="1"/>
      <c r="H4126" s="1"/>
      <c r="K4126" s="9"/>
      <c r="L4126" s="9"/>
      <c r="M4126" s="9"/>
    </row>
    <row r="4127" spans="1:16" ht="15.75" customHeight="1" x14ac:dyDescent="0.35">
      <c r="B4127" s="20"/>
      <c r="G4127" s="1"/>
      <c r="H4127" s="1"/>
      <c r="K4127" s="9" t="s">
        <v>254</v>
      </c>
      <c r="L4127" s="9"/>
      <c r="M4127" s="9"/>
    </row>
    <row r="4128" spans="1:16" ht="15.75" customHeight="1" x14ac:dyDescent="0.35">
      <c r="B4128" s="9"/>
      <c r="C4128" s="9"/>
      <c r="D4128" s="9"/>
      <c r="E4128" s="9"/>
      <c r="F4128" s="12"/>
      <c r="G4128" s="12"/>
      <c r="H4128" s="12"/>
      <c r="I4128" s="12"/>
      <c r="J4128" s="12"/>
      <c r="K4128" s="12"/>
      <c r="L4128" s="1"/>
    </row>
    <row r="4129" spans="1:16" ht="15.75" customHeight="1" x14ac:dyDescent="0.35">
      <c r="B4129" s="13"/>
      <c r="C4129" s="13"/>
      <c r="D4129" s="15"/>
      <c r="G4129" s="16"/>
      <c r="H4129" s="14" t="s">
        <v>255</v>
      </c>
      <c r="I4129" s="14"/>
    </row>
    <row r="4130" spans="1:16" x14ac:dyDescent="0.35">
      <c r="B4130" s="13" t="s">
        <v>5</v>
      </c>
      <c r="C4130" s="13" t="s">
        <v>1</v>
      </c>
      <c r="D4130" s="15" t="str">
        <f>VLOOKUP(A4131,Inventory!$A$4:$K$1139,7)</f>
        <v>Royal coffee</v>
      </c>
      <c r="F4130" s="13" t="s">
        <v>235</v>
      </c>
      <c r="G4130" s="16"/>
      <c r="L4130" s="17"/>
      <c r="M4130" s="17"/>
    </row>
    <row r="4131" spans="1:16" x14ac:dyDescent="0.35">
      <c r="A4131">
        <v>141</v>
      </c>
      <c r="B4131" s="5">
        <v>43966</v>
      </c>
      <c r="C4131" s="15" t="str">
        <f>VLOOKUP(A4131,Inventory!$A$4:$K$1139,2)</f>
        <v>Yemen Al-Haymah Rooftop Raised Bed Natural 2017</v>
      </c>
      <c r="F4131" s="31" t="s">
        <v>291</v>
      </c>
      <c r="G4131" s="2" t="s">
        <v>286</v>
      </c>
      <c r="L4131" s="17"/>
      <c r="M4131" s="17"/>
      <c r="P4131" s="8"/>
    </row>
    <row r="4132" spans="1:16" x14ac:dyDescent="0.35">
      <c r="B4132" t="s">
        <v>16</v>
      </c>
      <c r="G4132" s="16"/>
      <c r="L4132" s="19"/>
      <c r="M4132" s="19"/>
    </row>
    <row r="4133" spans="1:16" x14ac:dyDescent="0.35">
      <c r="B4133" s="20"/>
      <c r="C4133" s="11" t="s">
        <v>240</v>
      </c>
      <c r="D4133" s="11" t="s">
        <v>272</v>
      </c>
      <c r="E4133" s="11" t="s">
        <v>448</v>
      </c>
      <c r="F4133" s="11">
        <v>391</v>
      </c>
      <c r="G4133" s="11">
        <v>399</v>
      </c>
      <c r="H4133" s="11">
        <v>404</v>
      </c>
      <c r="I4133" s="11">
        <v>406</v>
      </c>
      <c r="J4133" s="11"/>
      <c r="K4133" s="11"/>
      <c r="L4133" s="28"/>
    </row>
    <row r="4134" spans="1:16" ht="15.75" customHeight="1" x14ac:dyDescent="0.35">
      <c r="B4134" s="20" t="s">
        <v>242</v>
      </c>
      <c r="C4134" s="21"/>
      <c r="D4134" s="22" t="s">
        <v>294</v>
      </c>
      <c r="E4134" s="23" t="s">
        <v>244</v>
      </c>
      <c r="F4134" s="23" t="s">
        <v>245</v>
      </c>
      <c r="G4134" s="23" t="s">
        <v>246</v>
      </c>
      <c r="H4134" s="23" t="s">
        <v>273</v>
      </c>
      <c r="I4134" s="23" t="s">
        <v>247</v>
      </c>
      <c r="O4134" s="4"/>
    </row>
    <row r="4135" spans="1:16" ht="1" customHeight="1" x14ac:dyDescent="0.35">
      <c r="B4135" s="24" t="s">
        <v>249</v>
      </c>
      <c r="C4135" s="25">
        <v>320</v>
      </c>
      <c r="D4135" s="25">
        <v>350</v>
      </c>
      <c r="E4135" s="25"/>
      <c r="F4135" s="25"/>
      <c r="G4135" s="25"/>
      <c r="H4135" s="23" t="s">
        <v>247</v>
      </c>
      <c r="I4135" s="25"/>
      <c r="O4135" t="e">
        <f>(O4133-3*O4132)/O4134</f>
        <v>#DIV/0!</v>
      </c>
    </row>
    <row r="4136" spans="1:16" ht="15.75" customHeight="1" x14ac:dyDescent="0.35">
      <c r="B4136" s="20" t="s">
        <v>250</v>
      </c>
      <c r="C4136" s="26">
        <v>0.18055555555555555</v>
      </c>
      <c r="D4136" s="26">
        <v>0.27083333333333331</v>
      </c>
      <c r="E4136" s="26">
        <v>0.38194444444444442</v>
      </c>
      <c r="F4136" s="26">
        <f>E4136+'Lookup Tables'!$N$1</f>
        <v>0.40277777777777773</v>
      </c>
      <c r="G4136" s="26">
        <f>F4136+'Lookup Tables'!$N$1</f>
        <v>0.42361111111111105</v>
      </c>
      <c r="H4136" s="26">
        <f>G4136+'Lookup Tables'!$S$1</f>
        <v>0.43402777777777773</v>
      </c>
      <c r="I4136" s="26">
        <f>H4136+'Lookup Tables'!$S$1</f>
        <v>0.44444444444444442</v>
      </c>
      <c r="N4136">
        <f>MAX(F4133:M4133)-O4136</f>
        <v>22</v>
      </c>
      <c r="O4136" t="str">
        <f>RIGHT(E4133,3)</f>
        <v>384</v>
      </c>
    </row>
    <row r="4137" spans="1:16" ht="15.75" customHeight="1" x14ac:dyDescent="0.35">
      <c r="B4137" s="20" t="s">
        <v>251</v>
      </c>
      <c r="C4137" s="27">
        <v>0.2</v>
      </c>
      <c r="D4137" s="27">
        <v>0.5</v>
      </c>
      <c r="E4137" s="27"/>
      <c r="F4137" s="27"/>
      <c r="G4137" s="27">
        <v>0.25</v>
      </c>
      <c r="H4137" s="27"/>
      <c r="I4137" s="27"/>
      <c r="N4137" t="str">
        <f xml:space="preserve">  N4136 &amp; " degrees this time"</f>
        <v>22 degrees this time</v>
      </c>
    </row>
    <row r="4138" spans="1:16" ht="15.75" customHeight="1" x14ac:dyDescent="0.35">
      <c r="B4138" s="20" t="s">
        <v>252</v>
      </c>
      <c r="C4138" s="27">
        <v>0.9</v>
      </c>
      <c r="D4138" s="27">
        <v>0.7</v>
      </c>
      <c r="E4138" s="27">
        <v>0.6</v>
      </c>
      <c r="F4138" s="27"/>
      <c r="G4138" s="27"/>
      <c r="H4138" s="27"/>
      <c r="I4138" s="27" t="s">
        <v>275</v>
      </c>
    </row>
    <row r="4139" spans="1:16" ht="15.75" customHeight="1" x14ac:dyDescent="0.35">
      <c r="B4139" s="20"/>
      <c r="D4139" s="11"/>
      <c r="E4139" s="40"/>
      <c r="F4139" s="11"/>
      <c r="G4139" s="11"/>
      <c r="K4139" s="9" t="s">
        <v>377</v>
      </c>
      <c r="L4139" s="9"/>
    </row>
    <row r="4140" spans="1:16" ht="15.75" customHeight="1" x14ac:dyDescent="0.35">
      <c r="B4140" s="38"/>
      <c r="D4140" s="15"/>
      <c r="F4140" s="13"/>
      <c r="G4140" s="1" t="s">
        <v>296</v>
      </c>
      <c r="K4140" s="32"/>
      <c r="L4140" s="9"/>
      <c r="M4140" s="9"/>
    </row>
    <row r="4141" spans="1:16" ht="15.75" customHeight="1" x14ac:dyDescent="0.35">
      <c r="B4141" s="20"/>
      <c r="G4141" s="1"/>
      <c r="H4141" s="1"/>
      <c r="K4141" s="9"/>
      <c r="L4141" s="9"/>
      <c r="M4141" s="9"/>
    </row>
    <row r="4142" spans="1:16" ht="15.75" customHeight="1" x14ac:dyDescent="0.35">
      <c r="B4142" s="20"/>
      <c r="G4142" s="1"/>
      <c r="H4142" s="1"/>
      <c r="K4142" s="9" t="s">
        <v>297</v>
      </c>
      <c r="L4142" s="9"/>
      <c r="M4142" s="9"/>
    </row>
    <row r="4143" spans="1:16" ht="15.75" customHeight="1" x14ac:dyDescent="0.35">
      <c r="B4143" s="9"/>
      <c r="C4143" s="9"/>
      <c r="D4143" s="9"/>
      <c r="E4143" s="9"/>
      <c r="F4143" s="12"/>
      <c r="G4143" s="12"/>
      <c r="H4143" s="12"/>
      <c r="I4143" s="12"/>
      <c r="J4143" s="12"/>
      <c r="K4143" s="12"/>
      <c r="L4143" s="1"/>
    </row>
    <row r="4144" spans="1:16" ht="15.75" customHeight="1" x14ac:dyDescent="0.35">
      <c r="B4144" s="13"/>
      <c r="C4144" s="13"/>
      <c r="D4144" s="15"/>
      <c r="H4144" s="14" t="s">
        <v>255</v>
      </c>
    </row>
    <row r="4145" spans="1:16" x14ac:dyDescent="0.35">
      <c r="B4145" s="13" t="s">
        <v>5</v>
      </c>
      <c r="C4145" s="13" t="s">
        <v>1</v>
      </c>
      <c r="D4145" s="15" t="str">
        <f>VLOOKUP(A4146,Inventory!$A$4:$K$1139,7)</f>
        <v>Leverhead Coffee</v>
      </c>
      <c r="F4145" s="13" t="s">
        <v>235</v>
      </c>
      <c r="G4145" s="16"/>
      <c r="L4145" s="17"/>
      <c r="M4145" s="17"/>
    </row>
    <row r="4146" spans="1:16" x14ac:dyDescent="0.35">
      <c r="A4146">
        <v>138</v>
      </c>
      <c r="B4146" s="5">
        <v>43966</v>
      </c>
      <c r="C4146" s="15" t="str">
        <f>VLOOKUP(A4146,Inventory!$A$4:$K$1139,2)</f>
        <v>Sidamo Chuchu 2017</v>
      </c>
      <c r="E4146" s="11"/>
      <c r="F4146" s="31" t="s">
        <v>291</v>
      </c>
      <c r="G4146" s="2" t="s">
        <v>286</v>
      </c>
      <c r="L4146" s="17"/>
      <c r="M4146" s="17"/>
      <c r="P4146" s="8"/>
    </row>
    <row r="4147" spans="1:16" x14ac:dyDescent="0.35">
      <c r="D4147" s="11"/>
      <c r="E4147" s="11"/>
      <c r="G4147" s="16"/>
      <c r="L4147" s="19"/>
      <c r="M4147" s="19"/>
    </row>
    <row r="4148" spans="1:16" x14ac:dyDescent="0.35">
      <c r="B4148" s="20"/>
      <c r="C4148" s="11" t="s">
        <v>240</v>
      </c>
      <c r="D4148" s="11" t="s">
        <v>272</v>
      </c>
      <c r="E4148" s="11" t="s">
        <v>513</v>
      </c>
      <c r="F4148" s="11">
        <v>379</v>
      </c>
      <c r="G4148" s="11">
        <v>384</v>
      </c>
      <c r="H4148" s="11">
        <v>390</v>
      </c>
      <c r="I4148" s="11">
        <v>394</v>
      </c>
      <c r="J4148" s="11"/>
      <c r="K4148" s="11"/>
      <c r="L4148" s="28"/>
    </row>
    <row r="4149" spans="1:16" ht="15.75" customHeight="1" x14ac:dyDescent="0.35">
      <c r="B4149" s="20" t="s">
        <v>242</v>
      </c>
      <c r="C4149" s="30"/>
      <c r="D4149" s="30"/>
      <c r="E4149" s="23" t="s">
        <v>244</v>
      </c>
      <c r="F4149" s="23" t="s">
        <v>245</v>
      </c>
      <c r="G4149" s="23" t="s">
        <v>246</v>
      </c>
      <c r="H4149" s="23" t="s">
        <v>247</v>
      </c>
      <c r="I4149" s="23" t="s">
        <v>248</v>
      </c>
      <c r="O4149" s="4"/>
    </row>
    <row r="4150" spans="1:16" ht="1" customHeight="1" x14ac:dyDescent="0.35">
      <c r="B4150" s="24" t="s">
        <v>249</v>
      </c>
      <c r="C4150" s="25"/>
      <c r="D4150" s="25"/>
      <c r="E4150" s="25"/>
      <c r="F4150" s="25"/>
      <c r="G4150" s="25"/>
      <c r="H4150" s="25"/>
      <c r="I4150" s="25"/>
      <c r="O4150" t="e">
        <f>(O4148-3*O4147)/O4149</f>
        <v>#DIV/0!</v>
      </c>
    </row>
    <row r="4151" spans="1:16" ht="15.75" customHeight="1" x14ac:dyDescent="0.35">
      <c r="B4151" s="20" t="s">
        <v>250</v>
      </c>
      <c r="C4151" s="26">
        <v>0.17708333333333334</v>
      </c>
      <c r="D4151" s="26">
        <v>0.26041666666666669</v>
      </c>
      <c r="E4151" s="26">
        <v>0.34722222222222227</v>
      </c>
      <c r="F4151" s="26">
        <f>E4151+'Lookup Tables'!$N$1</f>
        <v>0.36805555555555558</v>
      </c>
      <c r="G4151" s="26">
        <f>F4151+'Lookup Tables'!$N$1</f>
        <v>0.3888888888888889</v>
      </c>
      <c r="H4151" s="26">
        <f>G4151+'Lookup Tables'!$N$1</f>
        <v>0.40972222222222221</v>
      </c>
      <c r="I4151" s="26">
        <f>H4151+'Lookup Tables'!$S$1</f>
        <v>0.4201388888888889</v>
      </c>
      <c r="N4151">
        <f>MAX(F4148:M4148)-O4151</f>
        <v>23</v>
      </c>
      <c r="O4151" t="str">
        <f>RIGHT(E4148,3)</f>
        <v>371</v>
      </c>
    </row>
    <row r="4152" spans="1:16" ht="15.75" customHeight="1" x14ac:dyDescent="0.35">
      <c r="B4152" s="20" t="s">
        <v>251</v>
      </c>
      <c r="C4152" s="27">
        <v>0.2</v>
      </c>
      <c r="D4152" s="27">
        <v>0.5</v>
      </c>
      <c r="E4152" s="27"/>
      <c r="F4152" s="27"/>
      <c r="G4152" s="27"/>
      <c r="H4152" s="27"/>
      <c r="I4152" s="27"/>
      <c r="N4152" t="str">
        <f xml:space="preserve">  N4151 &amp; " degrees this time"</f>
        <v>23 degrees this time</v>
      </c>
    </row>
    <row r="4153" spans="1:16" ht="15.75" customHeight="1" x14ac:dyDescent="0.35">
      <c r="B4153" s="20" t="s">
        <v>252</v>
      </c>
      <c r="C4153" s="27">
        <v>0.9</v>
      </c>
      <c r="D4153" s="27">
        <v>0.7</v>
      </c>
      <c r="E4153" s="27"/>
      <c r="F4153" s="27">
        <v>0.6</v>
      </c>
      <c r="G4153" s="27"/>
      <c r="H4153" s="27"/>
      <c r="I4153" s="27" t="s">
        <v>275</v>
      </c>
    </row>
    <row r="4154" spans="1:16" ht="15.75" customHeight="1" x14ac:dyDescent="0.35">
      <c r="B4154" s="20"/>
      <c r="F4154" s="1" t="s">
        <v>409</v>
      </c>
    </row>
    <row r="4155" spans="1:16" ht="15.75" customHeight="1" x14ac:dyDescent="0.35">
      <c r="B4155" s="20"/>
      <c r="G4155" s="1" t="s">
        <v>504</v>
      </c>
      <c r="K4155" s="9" t="s">
        <v>508</v>
      </c>
      <c r="L4155" s="9"/>
      <c r="M4155" s="9"/>
    </row>
    <row r="4156" spans="1:16" ht="15.75" customHeight="1" x14ac:dyDescent="0.35">
      <c r="B4156" s="20"/>
      <c r="G4156" s="1"/>
      <c r="H4156" s="1"/>
      <c r="K4156" s="12" t="s">
        <v>529</v>
      </c>
      <c r="L4156" s="9"/>
      <c r="M4156" s="9"/>
    </row>
    <row r="4157" spans="1:16" ht="15.75" customHeight="1" x14ac:dyDescent="0.35">
      <c r="B4157" s="20"/>
      <c r="G4157" s="1"/>
      <c r="H4157" s="1"/>
      <c r="K4157" s="9" t="s">
        <v>300</v>
      </c>
      <c r="L4157" s="9"/>
      <c r="M4157" s="9"/>
    </row>
    <row r="4158" spans="1:16" ht="15.75" customHeight="1" x14ac:dyDescent="0.35">
      <c r="B4158" s="9"/>
      <c r="C4158" s="9"/>
      <c r="D4158" s="9"/>
      <c r="E4158" s="9"/>
      <c r="F4158" s="12"/>
      <c r="G4158" s="12"/>
      <c r="H4158" s="12"/>
      <c r="I4158" s="12"/>
      <c r="J4158" s="12"/>
      <c r="K4158" s="12"/>
      <c r="L4158" s="1"/>
    </row>
    <row r="4159" spans="1:16" ht="15.75" customHeight="1" x14ac:dyDescent="0.35">
      <c r="B4159" s="13"/>
      <c r="C4159" s="13"/>
      <c r="D4159" s="13"/>
      <c r="E4159" s="13"/>
      <c r="F4159" s="13"/>
      <c r="G4159" s="13"/>
      <c r="I4159" s="14"/>
    </row>
    <row r="4160" spans="1:16" x14ac:dyDescent="0.35">
      <c r="B4160" s="13" t="s">
        <v>5</v>
      </c>
      <c r="C4160" s="13" t="s">
        <v>1</v>
      </c>
      <c r="D4160" s="15" t="str">
        <f>VLOOKUP(A4161,Inventory!$A$4:$K$1139,7)</f>
        <v>Burman Coffee</v>
      </c>
      <c r="F4160" s="13" t="s">
        <v>235</v>
      </c>
      <c r="G4160" s="16"/>
      <c r="L4160" s="17"/>
      <c r="M4160" s="17"/>
    </row>
    <row r="4161" spans="1:16" x14ac:dyDescent="0.35">
      <c r="A4161">
        <v>136</v>
      </c>
      <c r="B4161" s="5">
        <v>43942</v>
      </c>
      <c r="C4161" s="15" t="str">
        <f>VLOOKUP(A4161,Inventory!$A$4:$K$1139,2)</f>
        <v>Indian Monsooned Malabar 2017</v>
      </c>
      <c r="F4161" s="18" t="s">
        <v>291</v>
      </c>
      <c r="G4161" s="2" t="s">
        <v>238</v>
      </c>
      <c r="L4161" s="17"/>
      <c r="M4161" s="17"/>
      <c r="P4161" s="8"/>
    </row>
    <row r="4162" spans="1:16" x14ac:dyDescent="0.35">
      <c r="I4162" s="9" t="s">
        <v>258</v>
      </c>
      <c r="L4162" s="19"/>
      <c r="M4162" s="19"/>
    </row>
    <row r="4163" spans="1:16" x14ac:dyDescent="0.35">
      <c r="B4163" s="20"/>
      <c r="C4163" s="11" t="s">
        <v>240</v>
      </c>
      <c r="D4163" s="11" t="s">
        <v>301</v>
      </c>
      <c r="E4163" s="11" t="s">
        <v>530</v>
      </c>
      <c r="F4163" s="11">
        <v>390</v>
      </c>
      <c r="G4163" s="11">
        <v>395</v>
      </c>
      <c r="H4163" s="11">
        <v>400</v>
      </c>
      <c r="I4163" s="11">
        <v>404</v>
      </c>
      <c r="J4163" s="11">
        <v>408</v>
      </c>
      <c r="K4163" s="11"/>
      <c r="L4163" s="11"/>
    </row>
    <row r="4164" spans="1:16" ht="15.75" customHeight="1" x14ac:dyDescent="0.35">
      <c r="B4164" s="20" t="s">
        <v>242</v>
      </c>
      <c r="C4164" s="30"/>
      <c r="D4164" s="30"/>
      <c r="E4164" s="23" t="s">
        <v>244</v>
      </c>
      <c r="F4164" s="23" t="s">
        <v>245</v>
      </c>
      <c r="G4164" s="23" t="s">
        <v>246</v>
      </c>
      <c r="H4164" s="23" t="s">
        <v>247</v>
      </c>
      <c r="I4164" s="23" t="s">
        <v>259</v>
      </c>
      <c r="J4164" s="23" t="s">
        <v>260</v>
      </c>
      <c r="K4164" s="23" t="s">
        <v>261</v>
      </c>
      <c r="L4164" s="23" t="s">
        <v>518</v>
      </c>
      <c r="O4164" s="4"/>
    </row>
    <row r="4165" spans="1:16" ht="1" customHeight="1" x14ac:dyDescent="0.35">
      <c r="B4165" s="24" t="s">
        <v>249</v>
      </c>
      <c r="C4165" s="25">
        <v>332</v>
      </c>
      <c r="D4165" s="25">
        <v>370</v>
      </c>
      <c r="E4165" s="25">
        <v>393</v>
      </c>
      <c r="F4165" s="25">
        <v>399</v>
      </c>
      <c r="G4165" s="25">
        <v>404</v>
      </c>
      <c r="H4165" s="25">
        <v>410</v>
      </c>
      <c r="I4165" s="25"/>
      <c r="J4165" s="25"/>
      <c r="K4165" s="25"/>
      <c r="L4165" s="25"/>
      <c r="O4165" t="e">
        <f>(O4163-3*O4162)/O4164</f>
        <v>#DIV/0!</v>
      </c>
    </row>
    <row r="4166" spans="1:16" ht="15.75" customHeight="1" x14ac:dyDescent="0.35">
      <c r="B4166" s="20" t="s">
        <v>250</v>
      </c>
      <c r="C4166" s="26">
        <v>0.24305555555555555</v>
      </c>
      <c r="D4166" s="26">
        <v>0.35416666666666669</v>
      </c>
      <c r="E4166" s="26">
        <v>0.46180555555555558</v>
      </c>
      <c r="F4166" s="26">
        <f>E4166+'Lookup Tables'!$N$1</f>
        <v>0.4826388888888889</v>
      </c>
      <c r="G4166" s="26">
        <f>F4166+'Lookup Tables'!$N$1</f>
        <v>0.50347222222222221</v>
      </c>
      <c r="H4166" s="26">
        <f>G4166+'Lookup Tables'!$N$1</f>
        <v>0.52430555555555558</v>
      </c>
      <c r="I4166" s="26">
        <f>H4166+'Lookup Tables'!$N$1</f>
        <v>0.54513888888888895</v>
      </c>
      <c r="J4166" s="26">
        <f>I4166+'Lookup Tables'!$S$1</f>
        <v>0.55555555555555558</v>
      </c>
      <c r="K4166" s="26">
        <f>J4166+'Lookup Tables'!$S$1</f>
        <v>0.56597222222222221</v>
      </c>
      <c r="L4166" s="26">
        <f>K4166+'Lookup Tables'!$S$1</f>
        <v>0.57638888888888884</v>
      </c>
      <c r="N4166">
        <f>MAX(F4163:M4163)-O4166</f>
        <v>25</v>
      </c>
      <c r="O4166" t="str">
        <f>RIGHT(E4163,3)</f>
        <v>383</v>
      </c>
    </row>
    <row r="4167" spans="1:16" ht="15.75" customHeight="1" x14ac:dyDescent="0.35">
      <c r="B4167" s="20" t="s">
        <v>251</v>
      </c>
      <c r="C4167" s="27">
        <v>0.2</v>
      </c>
      <c r="D4167" s="27">
        <v>0.5</v>
      </c>
      <c r="E4167" s="25"/>
      <c r="F4167" s="25"/>
      <c r="G4167" s="27" t="s">
        <v>274</v>
      </c>
      <c r="H4167" s="27"/>
      <c r="I4167" s="27"/>
      <c r="J4167" s="27"/>
      <c r="K4167" s="27"/>
      <c r="L4167" s="27"/>
      <c r="N4167" t="str">
        <f xml:space="preserve">  N4166 &amp; " degrees this time"</f>
        <v>25 degrees this time</v>
      </c>
    </row>
    <row r="4168" spans="1:16" ht="15.75" customHeight="1" x14ac:dyDescent="0.35">
      <c r="B4168" s="20" t="s">
        <v>252</v>
      </c>
      <c r="C4168" s="27">
        <v>0.9</v>
      </c>
      <c r="D4168" s="27">
        <v>0.5</v>
      </c>
      <c r="E4168" s="27">
        <v>0.4</v>
      </c>
      <c r="F4168" s="27"/>
      <c r="G4168" s="27" t="s">
        <v>274</v>
      </c>
      <c r="H4168" s="27"/>
      <c r="I4168" s="27"/>
      <c r="J4168" s="27"/>
      <c r="K4168" s="27"/>
      <c r="L4168" s="27"/>
    </row>
    <row r="4169" spans="1:16" ht="15.75" customHeight="1" x14ac:dyDescent="0.35">
      <c r="B4169" s="20"/>
      <c r="D4169" s="11"/>
      <c r="E4169" s="11"/>
      <c r="F4169" s="11"/>
      <c r="G4169" s="11"/>
      <c r="H4169" s="13" t="s">
        <v>409</v>
      </c>
    </row>
    <row r="4170" spans="1:16" ht="15.75" customHeight="1" x14ac:dyDescent="0.35">
      <c r="G4170" s="1" t="s">
        <v>347</v>
      </c>
      <c r="K4170" s="9" t="s">
        <v>531</v>
      </c>
      <c r="L4170" s="9"/>
      <c r="M4170" s="9"/>
    </row>
    <row r="4171" spans="1:16" ht="15.75" customHeight="1" x14ac:dyDescent="0.35">
      <c r="B4171" s="20"/>
      <c r="G4171" s="1"/>
      <c r="H4171" s="1"/>
      <c r="K4171" s="9"/>
      <c r="L4171" s="9"/>
      <c r="M4171" s="9"/>
    </row>
    <row r="4172" spans="1:16" ht="15.75" customHeight="1" x14ac:dyDescent="0.35">
      <c r="B4172" s="20"/>
      <c r="G4172" s="1"/>
      <c r="H4172" s="1"/>
      <c r="K4172" s="9" t="s">
        <v>254</v>
      </c>
      <c r="L4172" s="9"/>
      <c r="M4172" s="9"/>
    </row>
    <row r="4173" spans="1:16" ht="15.75" customHeight="1" x14ac:dyDescent="0.35">
      <c r="B4173" s="9"/>
      <c r="C4173" s="9"/>
      <c r="D4173" s="9"/>
      <c r="E4173" s="9"/>
      <c r="F4173" s="12"/>
      <c r="G4173" s="12"/>
      <c r="H4173" s="12"/>
      <c r="I4173" s="12"/>
      <c r="J4173" s="12"/>
      <c r="K4173" s="12"/>
      <c r="L4173" s="1"/>
    </row>
    <row r="4174" spans="1:16" ht="15.75" customHeight="1" x14ac:dyDescent="0.35">
      <c r="B4174" s="13"/>
      <c r="C4174" s="13"/>
      <c r="D4174" s="15"/>
    </row>
    <row r="4175" spans="1:16" x14ac:dyDescent="0.35">
      <c r="B4175" s="13" t="s">
        <v>5</v>
      </c>
      <c r="C4175" s="13" t="s">
        <v>1</v>
      </c>
      <c r="D4175" s="15" t="str">
        <f>VLOOKUP(A4176,Inventory!$A$4:$K$1139,7)</f>
        <v xml:space="preserve">GCBC                               </v>
      </c>
      <c r="F4175" s="13" t="s">
        <v>235</v>
      </c>
      <c r="G4175" s="16"/>
      <c r="L4175" s="17"/>
      <c r="M4175" s="17"/>
    </row>
    <row r="4176" spans="1:16" x14ac:dyDescent="0.35">
      <c r="A4176">
        <v>145</v>
      </c>
      <c r="B4176" s="5">
        <v>43942</v>
      </c>
      <c r="C4176" s="15" t="str">
        <f>VLOOKUP(A4176,Inventory!$A$4:$K$1139,2)</f>
        <v>Sumatra Harimau Tiger 2018</v>
      </c>
      <c r="E4176" s="11"/>
      <c r="F4176" s="34" t="s">
        <v>279</v>
      </c>
      <c r="G4176" s="2" t="s">
        <v>270</v>
      </c>
      <c r="J4176" s="8"/>
      <c r="L4176" s="17"/>
      <c r="M4176" s="17"/>
      <c r="P4176" s="8"/>
    </row>
    <row r="4177" spans="1:16" x14ac:dyDescent="0.35">
      <c r="B4177" s="13"/>
      <c r="C4177" s="13"/>
      <c r="D4177" s="11"/>
      <c r="F4177" s="13"/>
      <c r="G4177" s="16"/>
      <c r="K4177" s="1"/>
      <c r="L4177" s="19"/>
      <c r="M4177" s="19"/>
    </row>
    <row r="4178" spans="1:16" x14ac:dyDescent="0.35">
      <c r="B4178" s="20"/>
      <c r="C4178" s="11" t="s">
        <v>240</v>
      </c>
      <c r="D4178" s="11" t="s">
        <v>301</v>
      </c>
      <c r="E4178" s="11" t="s">
        <v>513</v>
      </c>
      <c r="F4178" s="11">
        <v>378</v>
      </c>
      <c r="G4178" s="11">
        <v>386</v>
      </c>
      <c r="H4178" s="11">
        <v>393</v>
      </c>
      <c r="I4178" s="11">
        <v>398</v>
      </c>
      <c r="J4178" s="11"/>
      <c r="K4178" s="11"/>
      <c r="L4178" s="11"/>
    </row>
    <row r="4179" spans="1:16" ht="15.75" customHeight="1" x14ac:dyDescent="0.35">
      <c r="B4179" s="20" t="s">
        <v>242</v>
      </c>
      <c r="C4179" s="21"/>
      <c r="D4179" s="22" t="s">
        <v>294</v>
      </c>
      <c r="E4179" s="23" t="s">
        <v>244</v>
      </c>
      <c r="F4179" s="23" t="s">
        <v>245</v>
      </c>
      <c r="G4179" s="23" t="s">
        <v>246</v>
      </c>
      <c r="H4179" s="23" t="s">
        <v>247</v>
      </c>
      <c r="I4179" s="23" t="s">
        <v>248</v>
      </c>
      <c r="J4179" s="23" t="s">
        <v>259</v>
      </c>
      <c r="K4179" s="23" t="s">
        <v>260</v>
      </c>
      <c r="O4179" s="4"/>
    </row>
    <row r="4180" spans="1:16" ht="1" customHeight="1" x14ac:dyDescent="0.35">
      <c r="B4180" s="24" t="s">
        <v>249</v>
      </c>
      <c r="C4180" s="25"/>
      <c r="D4180" s="25"/>
      <c r="E4180" s="25"/>
      <c r="F4180" s="25"/>
      <c r="G4180" s="25"/>
      <c r="H4180" s="25"/>
      <c r="I4180" s="25"/>
      <c r="J4180" s="25"/>
      <c r="K4180" s="25"/>
      <c r="O4180" t="e">
        <f>(O4178-3*O4177)/O4179</f>
        <v>#DIV/0!</v>
      </c>
    </row>
    <row r="4181" spans="1:16" ht="15.75" customHeight="1" x14ac:dyDescent="0.35">
      <c r="B4181" s="20" t="s">
        <v>250</v>
      </c>
      <c r="C4181" s="26">
        <v>0.23611111111111113</v>
      </c>
      <c r="D4181" s="26">
        <v>0.31597222222222221</v>
      </c>
      <c r="E4181" s="26">
        <v>0.40972222222222227</v>
      </c>
      <c r="F4181" s="26">
        <f>E4181+'Lookup Tables'!$N$1</f>
        <v>0.43055555555555558</v>
      </c>
      <c r="G4181" s="26">
        <f>F4181+'Lookup Tables'!$N$1</f>
        <v>0.4513888888888889</v>
      </c>
      <c r="H4181" s="26">
        <f>G4181+'Lookup Tables'!$N$1</f>
        <v>0.47222222222222221</v>
      </c>
      <c r="I4181" s="26">
        <f>H4181+'Lookup Tables'!$S$1</f>
        <v>0.4826388888888889</v>
      </c>
      <c r="J4181" s="26">
        <f>I4181+'Lookup Tables'!$S$1</f>
        <v>0.49305555555555558</v>
      </c>
      <c r="K4181" s="26">
        <f>J4181+'Lookup Tables'!$S$1</f>
        <v>0.50347222222222221</v>
      </c>
      <c r="N4181">
        <f>MAX(F4178:M4178)-O4181</f>
        <v>27</v>
      </c>
      <c r="O4181" t="str">
        <f>RIGHT(E4178,3)</f>
        <v>371</v>
      </c>
    </row>
    <row r="4182" spans="1:16" ht="15.75" customHeight="1" x14ac:dyDescent="0.35">
      <c r="B4182" s="20" t="s">
        <v>251</v>
      </c>
      <c r="C4182" s="27">
        <v>0.2</v>
      </c>
      <c r="D4182" s="27">
        <v>0.5</v>
      </c>
      <c r="E4182" s="27"/>
      <c r="F4182" s="27"/>
      <c r="G4182" s="27"/>
      <c r="H4182" s="27"/>
      <c r="I4182" s="27"/>
      <c r="J4182" s="27"/>
      <c r="K4182" s="27"/>
      <c r="N4182" t="str">
        <f xml:space="preserve">  N4181 &amp; " degrees this time"</f>
        <v>27 degrees this time</v>
      </c>
    </row>
    <row r="4183" spans="1:16" ht="15.75" customHeight="1" x14ac:dyDescent="0.35">
      <c r="B4183" s="20" t="s">
        <v>252</v>
      </c>
      <c r="C4183" s="27">
        <v>0.9</v>
      </c>
      <c r="D4183" s="27">
        <v>0.7</v>
      </c>
      <c r="E4183" s="27">
        <v>0.5</v>
      </c>
      <c r="F4183" s="27"/>
      <c r="G4183" s="27"/>
      <c r="H4183" s="27"/>
      <c r="I4183" s="27"/>
      <c r="J4183" s="27"/>
      <c r="K4183" s="27"/>
    </row>
    <row r="4184" spans="1:16" ht="15.75" customHeight="1" x14ac:dyDescent="0.35">
      <c r="B4184" s="20"/>
      <c r="D4184" s="11"/>
      <c r="E4184" s="11"/>
      <c r="F4184" s="11"/>
      <c r="G4184" s="11"/>
      <c r="H4184" s="11"/>
      <c r="I4184" s="11"/>
      <c r="J4184" s="37"/>
      <c r="K4184" s="37"/>
      <c r="L4184" s="35"/>
    </row>
    <row r="4185" spans="1:16" ht="15.75" customHeight="1" x14ac:dyDescent="0.35">
      <c r="B4185" s="38"/>
      <c r="E4185" s="11"/>
      <c r="G4185" s="1" t="s">
        <v>317</v>
      </c>
      <c r="H4185" s="1"/>
      <c r="K4185" s="32" t="s">
        <v>532</v>
      </c>
      <c r="L4185" s="9"/>
      <c r="M4185" s="9"/>
    </row>
    <row r="4186" spans="1:16" ht="15.75" customHeight="1" x14ac:dyDescent="0.35">
      <c r="B4186" s="20"/>
      <c r="G4186" s="1"/>
      <c r="H4186" s="1"/>
      <c r="K4186" s="32"/>
      <c r="L4186" s="9"/>
      <c r="M4186" s="9"/>
    </row>
    <row r="4187" spans="1:16" ht="15.75" customHeight="1" x14ac:dyDescent="0.35">
      <c r="B4187" s="20"/>
      <c r="G4187" s="1"/>
      <c r="H4187" s="1"/>
      <c r="K4187" s="9" t="s">
        <v>300</v>
      </c>
      <c r="L4187" s="9"/>
      <c r="M4187" s="9"/>
    </row>
    <row r="4188" spans="1:16" ht="15.75" customHeight="1" x14ac:dyDescent="0.35">
      <c r="B4188" s="9"/>
      <c r="C4188" s="9"/>
      <c r="D4188" s="9"/>
      <c r="E4188" s="9"/>
      <c r="F4188" s="12"/>
      <c r="G4188" s="12"/>
      <c r="H4188" s="12"/>
      <c r="I4188" s="12"/>
      <c r="J4188" s="12"/>
      <c r="K4188" s="12"/>
      <c r="L4188" s="1"/>
    </row>
    <row r="4189" spans="1:16" ht="15.75" customHeight="1" x14ac:dyDescent="0.35">
      <c r="B4189" s="13"/>
      <c r="C4189" s="13"/>
      <c r="D4189" s="15"/>
      <c r="F4189" s="13"/>
      <c r="G4189" s="13"/>
      <c r="H4189" s="14"/>
      <c r="I4189" s="13"/>
      <c r="J4189" s="1"/>
    </row>
    <row r="4190" spans="1:16" x14ac:dyDescent="0.35">
      <c r="B4190" s="13" t="s">
        <v>5</v>
      </c>
      <c r="C4190" s="13" t="s">
        <v>1</v>
      </c>
      <c r="D4190" s="15" t="str">
        <f>VLOOKUP(A4191,Inventory!$A$4:$K$1139,7)</f>
        <v xml:space="preserve">GCBC                               </v>
      </c>
      <c r="F4190" s="13" t="s">
        <v>235</v>
      </c>
      <c r="G4190" s="16"/>
      <c r="L4190" s="17"/>
      <c r="M4190" s="17"/>
    </row>
    <row r="4191" spans="1:16" x14ac:dyDescent="0.35">
      <c r="A4191">
        <v>139</v>
      </c>
      <c r="B4191" s="5">
        <v>43942</v>
      </c>
      <c r="C4191" s="15" t="str">
        <f>VLOOKUP(A4191,Inventory!$A$4:$K$1139,2)</f>
        <v>Guatemala Huehuetenango El Injertal 2017</v>
      </c>
      <c r="E4191" s="11"/>
      <c r="F4191" s="34" t="s">
        <v>279</v>
      </c>
      <c r="G4191" s="2" t="s">
        <v>286</v>
      </c>
      <c r="L4191" s="17"/>
      <c r="M4191" s="17"/>
      <c r="P4191" s="8"/>
    </row>
    <row r="4192" spans="1:16" x14ac:dyDescent="0.35">
      <c r="B4192" s="13"/>
      <c r="C4192" s="13"/>
      <c r="D4192" s="11"/>
      <c r="F4192" s="13"/>
      <c r="G4192" s="16"/>
      <c r="I4192" s="1"/>
      <c r="L4192" s="19"/>
      <c r="M4192" s="19"/>
    </row>
    <row r="4193" spans="1:16" x14ac:dyDescent="0.35">
      <c r="B4193" s="20"/>
      <c r="C4193" s="11" t="s">
        <v>240</v>
      </c>
      <c r="D4193" s="11" t="s">
        <v>241</v>
      </c>
      <c r="E4193" s="11" t="s">
        <v>426</v>
      </c>
      <c r="F4193" s="11">
        <v>378</v>
      </c>
      <c r="G4193" s="11">
        <v>386</v>
      </c>
      <c r="H4193" s="11">
        <v>396</v>
      </c>
      <c r="I4193" s="11">
        <v>399</v>
      </c>
      <c r="J4193" s="11" t="s">
        <v>312</v>
      </c>
      <c r="K4193" s="11"/>
      <c r="L4193" s="11"/>
    </row>
    <row r="4194" spans="1:16" ht="15.75" customHeight="1" x14ac:dyDescent="0.35">
      <c r="B4194" s="20" t="s">
        <v>242</v>
      </c>
      <c r="C4194" s="30"/>
      <c r="D4194" s="30"/>
      <c r="E4194" s="23" t="s">
        <v>244</v>
      </c>
      <c r="F4194" s="23" t="s">
        <v>245</v>
      </c>
      <c r="G4194" s="23" t="s">
        <v>246</v>
      </c>
      <c r="H4194" s="23" t="s">
        <v>247</v>
      </c>
      <c r="I4194" s="23" t="s">
        <v>259</v>
      </c>
      <c r="O4194" s="4"/>
    </row>
    <row r="4195" spans="1:16" ht="1" customHeight="1" x14ac:dyDescent="0.35">
      <c r="B4195" s="24" t="s">
        <v>249</v>
      </c>
      <c r="C4195" s="25"/>
      <c r="D4195" s="25"/>
      <c r="E4195" s="25"/>
      <c r="F4195" s="25"/>
      <c r="G4195" s="25"/>
      <c r="H4195" s="25"/>
      <c r="I4195" s="25"/>
      <c r="O4195" t="e">
        <f>(O4193-3*O4192)/O4194</f>
        <v>#DIV/0!</v>
      </c>
    </row>
    <row r="4196" spans="1:16" ht="15.75" customHeight="1" x14ac:dyDescent="0.35">
      <c r="B4196" s="20" t="s">
        <v>250</v>
      </c>
      <c r="C4196" s="26">
        <v>0.21875</v>
      </c>
      <c r="D4196" s="26">
        <v>0.2951388888888889</v>
      </c>
      <c r="E4196" s="26">
        <v>0.38541666666666669</v>
      </c>
      <c r="F4196" s="26">
        <f>E4196+'Lookup Tables'!$N$1</f>
        <v>0.40625</v>
      </c>
      <c r="G4196" s="26">
        <f>F4196+'Lookup Tables'!$N$1</f>
        <v>0.42708333333333331</v>
      </c>
      <c r="H4196" s="26">
        <f>G4196+'Lookup Tables'!$N$1</f>
        <v>0.44791666666666663</v>
      </c>
      <c r="I4196" s="26">
        <f>H4196+'Lookup Tables'!$N$1</f>
        <v>0.46874999999999994</v>
      </c>
      <c r="N4196">
        <f>MAX(F4193:M4193)-O4196</f>
        <v>29</v>
      </c>
      <c r="O4196" t="str">
        <f>RIGHT(E4193,3)</f>
        <v>370</v>
      </c>
    </row>
    <row r="4197" spans="1:16" ht="15.75" customHeight="1" x14ac:dyDescent="0.35">
      <c r="B4197" s="20" t="s">
        <v>251</v>
      </c>
      <c r="C4197" s="27">
        <v>0.2</v>
      </c>
      <c r="D4197" s="27">
        <v>0.5</v>
      </c>
      <c r="E4197" s="27"/>
      <c r="F4197" s="27"/>
      <c r="G4197" s="27"/>
      <c r="H4197" s="27"/>
      <c r="I4197" s="27"/>
      <c r="N4197" t="str">
        <f xml:space="preserve">  N4196 &amp; " degrees this time"</f>
        <v>29 degrees this time</v>
      </c>
    </row>
    <row r="4198" spans="1:16" ht="15.75" customHeight="1" x14ac:dyDescent="0.35">
      <c r="B4198" s="20" t="s">
        <v>252</v>
      </c>
      <c r="C4198" s="27">
        <v>0.9</v>
      </c>
      <c r="D4198" s="27">
        <v>0.8</v>
      </c>
      <c r="E4198" s="27">
        <v>0.8</v>
      </c>
      <c r="F4198" s="27"/>
      <c r="G4198" s="27">
        <v>0.6</v>
      </c>
      <c r="H4198" s="27">
        <v>0.4</v>
      </c>
      <c r="I4198" s="27" t="s">
        <v>275</v>
      </c>
    </row>
    <row r="4199" spans="1:16" ht="15.75" customHeight="1" x14ac:dyDescent="0.35">
      <c r="B4199" s="20"/>
      <c r="D4199" s="11"/>
      <c r="E4199" s="11"/>
      <c r="F4199" s="11"/>
      <c r="G4199" s="40"/>
      <c r="H4199" s="11"/>
      <c r="I4199" s="11"/>
      <c r="J4199" s="37"/>
    </row>
    <row r="4200" spans="1:16" ht="15.75" customHeight="1" x14ac:dyDescent="0.35">
      <c r="B4200" s="38"/>
      <c r="G4200" s="1" t="s">
        <v>492</v>
      </c>
      <c r="H4200" s="1"/>
      <c r="K4200" s="9" t="s">
        <v>510</v>
      </c>
      <c r="L4200" s="9"/>
      <c r="M4200" s="9"/>
    </row>
    <row r="4201" spans="1:16" ht="15.75" customHeight="1" x14ac:dyDescent="0.35">
      <c r="B4201" s="20"/>
      <c r="G4201" s="1"/>
      <c r="H4201" s="1"/>
      <c r="K4201" s="32"/>
      <c r="L4201" s="9"/>
      <c r="M4201" s="9"/>
    </row>
    <row r="4202" spans="1:16" ht="15.75" customHeight="1" x14ac:dyDescent="0.35">
      <c r="B4202" s="20"/>
      <c r="G4202" s="1"/>
      <c r="H4202" s="1"/>
      <c r="K4202" s="9" t="s">
        <v>300</v>
      </c>
      <c r="L4202" s="9"/>
      <c r="M4202" s="9"/>
    </row>
    <row r="4203" spans="1:16" ht="15.75" customHeight="1" x14ac:dyDescent="0.35">
      <c r="B4203" s="9"/>
      <c r="C4203" s="9"/>
      <c r="D4203" s="9"/>
      <c r="E4203" s="9"/>
      <c r="F4203" s="12"/>
      <c r="G4203" s="12"/>
      <c r="H4203" s="12"/>
      <c r="I4203" s="12"/>
      <c r="J4203" s="12"/>
      <c r="K4203" s="12"/>
      <c r="L4203" s="1"/>
    </row>
    <row r="4204" spans="1:16" ht="15.75" customHeight="1" x14ac:dyDescent="0.35">
      <c r="B4204" s="13"/>
      <c r="C4204" s="13"/>
      <c r="D4204" s="13"/>
      <c r="E4204" s="13"/>
      <c r="F4204" s="33" t="s">
        <v>326</v>
      </c>
      <c r="G4204" s="13"/>
      <c r="H4204" s="14" t="s">
        <v>255</v>
      </c>
      <c r="I4204" s="13"/>
    </row>
    <row r="4205" spans="1:16" x14ac:dyDescent="0.35">
      <c r="B4205" s="13" t="s">
        <v>5</v>
      </c>
      <c r="C4205" s="13" t="s">
        <v>1</v>
      </c>
      <c r="D4205" s="15" t="str">
        <f>VLOOKUP(A4206,Inventory!$A$4:$K$1139,7)</f>
        <v xml:space="preserve">GCBC                               </v>
      </c>
      <c r="F4205" s="13" t="s">
        <v>235</v>
      </c>
      <c r="G4205" s="16"/>
      <c r="L4205" s="17"/>
      <c r="M4205" s="17"/>
    </row>
    <row r="4206" spans="1:16" x14ac:dyDescent="0.35">
      <c r="A4206">
        <v>143</v>
      </c>
      <c r="B4206" s="5">
        <v>43942</v>
      </c>
      <c r="C4206" s="15" t="str">
        <f>VLOOKUP(A4206,Inventory!$A$4:$K$1139,2)</f>
        <v>Myanmar Shwe Padauk (GP) 2017</v>
      </c>
      <c r="E4206" s="11"/>
      <c r="F4206" s="31" t="s">
        <v>291</v>
      </c>
      <c r="G4206" s="2" t="s">
        <v>286</v>
      </c>
      <c r="L4206" s="17"/>
      <c r="M4206" s="17"/>
      <c r="P4206" s="8"/>
    </row>
    <row r="4207" spans="1:16" x14ac:dyDescent="0.35">
      <c r="D4207" s="11"/>
      <c r="E4207" s="11"/>
      <c r="G4207" s="16"/>
      <c r="L4207" s="19"/>
      <c r="M4207" s="19"/>
    </row>
    <row r="4208" spans="1:16" x14ac:dyDescent="0.35">
      <c r="B4208" s="20"/>
      <c r="C4208" s="11" t="s">
        <v>240</v>
      </c>
      <c r="D4208" s="11" t="s">
        <v>272</v>
      </c>
      <c r="E4208" s="11" t="s">
        <v>319</v>
      </c>
      <c r="F4208" s="11">
        <v>380</v>
      </c>
      <c r="G4208" s="11">
        <v>386</v>
      </c>
      <c r="H4208" s="11">
        <v>396</v>
      </c>
      <c r="I4208" s="11" t="s">
        <v>356</v>
      </c>
      <c r="J4208" s="11"/>
      <c r="K4208" s="11"/>
      <c r="L4208" s="11"/>
    </row>
    <row r="4209" spans="1:16" ht="15.75" customHeight="1" x14ac:dyDescent="0.35">
      <c r="B4209" s="20" t="s">
        <v>242</v>
      </c>
      <c r="C4209" s="21"/>
      <c r="D4209" s="22" t="s">
        <v>294</v>
      </c>
      <c r="E4209" s="23" t="s">
        <v>244</v>
      </c>
      <c r="F4209" s="23" t="s">
        <v>245</v>
      </c>
      <c r="G4209" s="23" t="s">
        <v>246</v>
      </c>
      <c r="H4209" s="23" t="s">
        <v>247</v>
      </c>
      <c r="I4209" s="23" t="s">
        <v>248</v>
      </c>
      <c r="O4209" s="4"/>
    </row>
    <row r="4210" spans="1:16" ht="1" customHeight="1" x14ac:dyDescent="0.35">
      <c r="B4210" s="24" t="s">
        <v>249</v>
      </c>
      <c r="C4210" s="25"/>
      <c r="D4210" s="25"/>
      <c r="E4210" s="25"/>
      <c r="F4210" s="25"/>
      <c r="G4210" s="25"/>
      <c r="H4210" s="25"/>
      <c r="I4210" s="25"/>
      <c r="O4210" t="e">
        <f>(O4208-3*O4207)/O4209</f>
        <v>#DIV/0!</v>
      </c>
    </row>
    <row r="4211" spans="1:16" ht="15.75" customHeight="1" x14ac:dyDescent="0.35">
      <c r="B4211" s="20" t="s">
        <v>250</v>
      </c>
      <c r="C4211" s="26">
        <v>0.18055555555555555</v>
      </c>
      <c r="D4211" s="26">
        <v>0.25694444444444448</v>
      </c>
      <c r="E4211" s="26">
        <v>0.35069444444444442</v>
      </c>
      <c r="F4211" s="26">
        <f>E4211+'Lookup Tables'!$N$1</f>
        <v>0.37152777777777773</v>
      </c>
      <c r="G4211" s="26">
        <f>F4211+'Lookup Tables'!$N$1</f>
        <v>0.39236111111111105</v>
      </c>
      <c r="H4211" s="26">
        <f>G4211+'Lookup Tables'!$N$1</f>
        <v>0.41319444444444436</v>
      </c>
      <c r="I4211" s="26">
        <f>H4211+'Lookup Tables'!$S$1</f>
        <v>0.42361111111111105</v>
      </c>
      <c r="N4211">
        <f>MAX(F4208:M4208)-O4211</f>
        <v>23</v>
      </c>
      <c r="O4211" t="str">
        <f>RIGHT(E4208,3)</f>
        <v>373</v>
      </c>
    </row>
    <row r="4212" spans="1:16" ht="15.75" customHeight="1" x14ac:dyDescent="0.35">
      <c r="B4212" s="20" t="s">
        <v>251</v>
      </c>
      <c r="C4212" s="27">
        <v>0.2</v>
      </c>
      <c r="D4212" s="27">
        <v>0.5</v>
      </c>
      <c r="E4212" s="27"/>
      <c r="F4212" s="27"/>
      <c r="G4212" s="27" t="s">
        <v>274</v>
      </c>
      <c r="H4212" s="27"/>
      <c r="I4212" s="25"/>
      <c r="N4212" t="str">
        <f xml:space="preserve">  N4211 &amp; " degrees this time"</f>
        <v>23 degrees this time</v>
      </c>
    </row>
    <row r="4213" spans="1:16" ht="15.75" customHeight="1" x14ac:dyDescent="0.35">
      <c r="B4213" s="20" t="s">
        <v>252</v>
      </c>
      <c r="C4213" s="27">
        <v>0.9</v>
      </c>
      <c r="D4213" s="27">
        <v>0.8</v>
      </c>
      <c r="E4213" s="27">
        <v>0.6</v>
      </c>
      <c r="F4213" s="27"/>
      <c r="G4213" s="27" t="s">
        <v>274</v>
      </c>
      <c r="H4213" s="27"/>
      <c r="I4213" s="27" t="s">
        <v>275</v>
      </c>
    </row>
    <row r="4214" spans="1:16" ht="15.75" customHeight="1" x14ac:dyDescent="0.35">
      <c r="B4214" s="20"/>
      <c r="D4214" s="11"/>
      <c r="E4214" s="11"/>
      <c r="F4214" s="11"/>
      <c r="H4214" s="35"/>
    </row>
    <row r="4215" spans="1:16" ht="15.75" customHeight="1" x14ac:dyDescent="0.35">
      <c r="B4215" s="20"/>
      <c r="G4215" s="1" t="s">
        <v>533</v>
      </c>
      <c r="K4215" s="9" t="s">
        <v>534</v>
      </c>
      <c r="L4215" s="9"/>
      <c r="M4215" s="9"/>
    </row>
    <row r="4216" spans="1:16" ht="15.75" customHeight="1" x14ac:dyDescent="0.35">
      <c r="B4216" s="20"/>
      <c r="G4216" s="1"/>
      <c r="H4216" s="1"/>
      <c r="K4216" s="9"/>
      <c r="L4216" s="9"/>
      <c r="M4216" s="9"/>
    </row>
    <row r="4217" spans="1:16" ht="15.75" customHeight="1" x14ac:dyDescent="0.35">
      <c r="B4217" s="20"/>
      <c r="G4217" s="1"/>
      <c r="H4217" s="1"/>
      <c r="K4217" s="9" t="s">
        <v>254</v>
      </c>
      <c r="L4217" s="9"/>
      <c r="M4217" s="9"/>
    </row>
    <row r="4218" spans="1:16" ht="15.75" customHeight="1" x14ac:dyDescent="0.35">
      <c r="B4218" s="9"/>
      <c r="C4218" s="9"/>
      <c r="D4218" s="9"/>
      <c r="E4218" s="9"/>
      <c r="F4218" s="12"/>
      <c r="G4218" s="12"/>
      <c r="H4218" s="12"/>
      <c r="I4218" s="12"/>
      <c r="J4218" s="12"/>
      <c r="K4218" s="12"/>
      <c r="L4218" s="1"/>
    </row>
    <row r="4219" spans="1:16" ht="15.75" customHeight="1" x14ac:dyDescent="0.35">
      <c r="B4219" s="13"/>
      <c r="C4219" s="13"/>
      <c r="D4219" s="13"/>
      <c r="E4219" s="13"/>
      <c r="F4219" s="13"/>
      <c r="G4219" s="13"/>
      <c r="H4219" s="14" t="s">
        <v>255</v>
      </c>
      <c r="I4219" s="13"/>
    </row>
    <row r="4220" spans="1:16" x14ac:dyDescent="0.35">
      <c r="B4220" s="13" t="s">
        <v>5</v>
      </c>
      <c r="C4220" s="13" t="s">
        <v>1</v>
      </c>
      <c r="D4220" s="15" t="str">
        <f>VLOOKUP(A4221,Inventory!$A$4:$K$1139,7)</f>
        <v>Leverhead Coffee</v>
      </c>
      <c r="F4220" s="13" t="s">
        <v>235</v>
      </c>
      <c r="G4220" s="16"/>
      <c r="L4220" s="17"/>
      <c r="M4220" s="17"/>
    </row>
    <row r="4221" spans="1:16" x14ac:dyDescent="0.35">
      <c r="A4221">
        <v>137</v>
      </c>
      <c r="B4221" s="5">
        <v>43942</v>
      </c>
      <c r="C4221" s="15" t="str">
        <f>VLOOKUP(A4221,Inventory!$A$4:$K$1139,2)</f>
        <v>Colombia Cauca 2017</v>
      </c>
      <c r="E4221" s="11"/>
      <c r="F4221" s="31" t="s">
        <v>291</v>
      </c>
      <c r="G4221" s="2" t="s">
        <v>286</v>
      </c>
      <c r="L4221" s="17"/>
      <c r="M4221" s="17"/>
      <c r="P4221" s="8"/>
    </row>
    <row r="4222" spans="1:16" x14ac:dyDescent="0.35">
      <c r="D4222" s="11"/>
      <c r="E4222" s="11"/>
      <c r="G4222" s="16"/>
      <c r="L4222" s="19"/>
      <c r="M4222" s="19"/>
    </row>
    <row r="4223" spans="1:16" x14ac:dyDescent="0.35">
      <c r="B4223" s="20"/>
      <c r="C4223" s="11" t="s">
        <v>240</v>
      </c>
      <c r="D4223" s="11" t="s">
        <v>272</v>
      </c>
      <c r="E4223" s="11" t="s">
        <v>319</v>
      </c>
      <c r="F4223" s="11">
        <v>381</v>
      </c>
      <c r="G4223" s="11">
        <v>386</v>
      </c>
      <c r="H4223" s="11">
        <v>393</v>
      </c>
      <c r="I4223" s="11">
        <v>398</v>
      </c>
      <c r="J4223" s="11"/>
      <c r="K4223" s="11"/>
      <c r="L4223" s="11"/>
    </row>
    <row r="4224" spans="1:16" ht="15.75" customHeight="1" x14ac:dyDescent="0.35">
      <c r="B4224" s="20" t="s">
        <v>242</v>
      </c>
      <c r="C4224" s="30"/>
      <c r="D4224" s="30"/>
      <c r="E4224" s="23" t="s">
        <v>244</v>
      </c>
      <c r="F4224" s="23" t="s">
        <v>245</v>
      </c>
      <c r="G4224" s="23" t="s">
        <v>246</v>
      </c>
      <c r="H4224" s="23" t="s">
        <v>247</v>
      </c>
      <c r="I4224" s="23" t="s">
        <v>248</v>
      </c>
      <c r="O4224" s="4"/>
    </row>
    <row r="4225" spans="1:16" ht="1" customHeight="1" x14ac:dyDescent="0.35">
      <c r="B4225" s="24" t="s">
        <v>249</v>
      </c>
      <c r="C4225" s="25"/>
      <c r="D4225" s="25"/>
      <c r="E4225" s="25"/>
      <c r="F4225" s="25"/>
      <c r="G4225" s="25"/>
      <c r="H4225" s="25"/>
      <c r="I4225" s="25"/>
      <c r="O4225" t="e">
        <f>(O4223-3*O4222)/O4224</f>
        <v>#DIV/0!</v>
      </c>
    </row>
    <row r="4226" spans="1:16" ht="15.75" customHeight="1" x14ac:dyDescent="0.35">
      <c r="B4226" s="20" t="s">
        <v>250</v>
      </c>
      <c r="C4226" s="26">
        <v>0.19444444444444445</v>
      </c>
      <c r="D4226" s="26">
        <v>0.27430555555555552</v>
      </c>
      <c r="E4226" s="26">
        <v>0.36458333333333331</v>
      </c>
      <c r="F4226" s="26">
        <f>E4226+'Lookup Tables'!$N$1</f>
        <v>0.38541666666666663</v>
      </c>
      <c r="G4226" s="26">
        <f>F4226+'Lookup Tables'!$N$1</f>
        <v>0.40624999999999994</v>
      </c>
      <c r="H4226" s="26">
        <f>G4226+'Lookup Tables'!$N$1</f>
        <v>0.42708333333333326</v>
      </c>
      <c r="I4226" s="26">
        <f>H4226+'Lookup Tables'!$S$1</f>
        <v>0.43749999999999994</v>
      </c>
      <c r="N4226">
        <f>MAX(F4223:M4223)-O4226</f>
        <v>25</v>
      </c>
      <c r="O4226" t="str">
        <f>RIGHT(E4223,3)</f>
        <v>373</v>
      </c>
    </row>
    <row r="4227" spans="1:16" ht="15.75" customHeight="1" x14ac:dyDescent="0.35">
      <c r="B4227" s="20" t="s">
        <v>251</v>
      </c>
      <c r="C4227" s="27">
        <v>0.2</v>
      </c>
      <c r="D4227" s="27">
        <v>0.5</v>
      </c>
      <c r="E4227" s="27"/>
      <c r="F4227" s="27"/>
      <c r="G4227" s="27"/>
      <c r="H4227" s="27"/>
      <c r="I4227" s="25"/>
      <c r="N4227" t="str">
        <f xml:space="preserve">  N4226 &amp; " degrees this time"</f>
        <v>25 degrees this time</v>
      </c>
    </row>
    <row r="4228" spans="1:16" ht="15.75" customHeight="1" x14ac:dyDescent="0.35">
      <c r="B4228" s="20" t="s">
        <v>252</v>
      </c>
      <c r="C4228" s="27">
        <v>0.9</v>
      </c>
      <c r="D4228" s="27">
        <v>0.8</v>
      </c>
      <c r="E4228" s="27">
        <v>0.7</v>
      </c>
      <c r="F4228" s="27">
        <v>0.6</v>
      </c>
      <c r="G4228" s="27"/>
      <c r="H4228" s="27"/>
      <c r="I4228" s="27" t="s">
        <v>275</v>
      </c>
    </row>
    <row r="4229" spans="1:16" ht="15.75" customHeight="1" x14ac:dyDescent="0.35">
      <c r="B4229" s="20"/>
      <c r="D4229" s="11"/>
      <c r="E4229" s="11"/>
      <c r="F4229" s="11"/>
      <c r="G4229" s="11"/>
      <c r="H4229" s="35"/>
    </row>
    <row r="4230" spans="1:16" ht="15.75" customHeight="1" x14ac:dyDescent="0.35">
      <c r="B4230" s="20"/>
      <c r="G4230" s="1" t="s">
        <v>331</v>
      </c>
      <c r="K4230" s="9" t="s">
        <v>511</v>
      </c>
      <c r="L4230" s="9"/>
      <c r="M4230" s="9"/>
    </row>
    <row r="4231" spans="1:16" ht="15.75" customHeight="1" x14ac:dyDescent="0.35">
      <c r="B4231" s="30"/>
      <c r="G4231" s="1"/>
      <c r="H4231" s="1"/>
      <c r="K4231" s="9"/>
      <c r="L4231" s="9"/>
      <c r="M4231" s="9"/>
    </row>
    <row r="4232" spans="1:16" ht="15.75" customHeight="1" x14ac:dyDescent="0.35">
      <c r="B4232" s="30"/>
      <c r="G4232" s="1"/>
      <c r="H4232" s="1"/>
      <c r="K4232" s="9" t="s">
        <v>300</v>
      </c>
      <c r="L4232" s="9"/>
      <c r="M4232" s="9"/>
    </row>
    <row r="4233" spans="1:16" ht="15.75" customHeight="1" x14ac:dyDescent="0.35">
      <c r="B4233" s="9"/>
      <c r="C4233" s="9"/>
      <c r="D4233" s="9"/>
      <c r="E4233" s="9"/>
      <c r="F4233" s="12"/>
      <c r="G4233" s="12"/>
      <c r="H4233" s="12"/>
      <c r="I4233" s="12"/>
      <c r="J4233" s="12"/>
      <c r="K4233" s="12"/>
      <c r="L4233" s="1"/>
    </row>
    <row r="4234" spans="1:16" ht="15.75" customHeight="1" x14ac:dyDescent="0.35">
      <c r="B4234" s="13"/>
      <c r="C4234" s="13"/>
      <c r="D4234" s="13"/>
      <c r="E4234" s="13"/>
      <c r="F4234" s="33" t="s">
        <v>326</v>
      </c>
      <c r="G4234" s="13"/>
      <c r="I4234" s="14"/>
    </row>
    <row r="4235" spans="1:16" x14ac:dyDescent="0.35">
      <c r="B4235" s="13" t="s">
        <v>5</v>
      </c>
      <c r="C4235" s="13" t="s">
        <v>1</v>
      </c>
      <c r="D4235" s="15" t="str">
        <f>VLOOKUP(A4236,Inventory!$A$4:$K$1139,7)</f>
        <v xml:space="preserve">GCBC                               </v>
      </c>
      <c r="F4235" s="13" t="s">
        <v>235</v>
      </c>
      <c r="G4235" s="16"/>
      <c r="H4235" s="14" t="s">
        <v>236</v>
      </c>
      <c r="L4235" s="17"/>
      <c r="M4235" s="17"/>
    </row>
    <row r="4236" spans="1:16" x14ac:dyDescent="0.35">
      <c r="A4236">
        <v>149</v>
      </c>
      <c r="B4236" s="5">
        <v>43925</v>
      </c>
      <c r="C4236" s="15" t="str">
        <f>VLOOKUP(A4236,Inventory!$A$4:$K$1139,2)</f>
        <v>Organic Ethiopian Sidamo WP 2018 Decaf</v>
      </c>
      <c r="F4236" s="18" t="s">
        <v>237</v>
      </c>
      <c r="G4236" s="2" t="s">
        <v>238</v>
      </c>
      <c r="L4236" s="17"/>
      <c r="M4236" s="17"/>
      <c r="P4236" s="8"/>
    </row>
    <row r="4237" spans="1:16" x14ac:dyDescent="0.35">
      <c r="J4237" s="1" t="s">
        <v>16</v>
      </c>
      <c r="L4237" s="19"/>
      <c r="M4237" s="19"/>
    </row>
    <row r="4238" spans="1:16" x14ac:dyDescent="0.35">
      <c r="C4238" s="11" t="s">
        <v>240</v>
      </c>
      <c r="D4238" s="11" t="s">
        <v>241</v>
      </c>
      <c r="E4238" s="11" t="s">
        <v>444</v>
      </c>
      <c r="F4238" s="11">
        <v>367</v>
      </c>
      <c r="G4238" s="11">
        <v>372</v>
      </c>
      <c r="H4238" s="11">
        <v>378</v>
      </c>
      <c r="I4238" s="11">
        <v>384</v>
      </c>
      <c r="J4238" s="11">
        <v>387</v>
      </c>
      <c r="K4238" s="11"/>
      <c r="L4238" s="11"/>
    </row>
    <row r="4239" spans="1:16" ht="15.75" customHeight="1" x14ac:dyDescent="0.35">
      <c r="B4239" s="20" t="s">
        <v>242</v>
      </c>
      <c r="C4239" s="30"/>
      <c r="D4239" s="30"/>
      <c r="E4239" s="23" t="s">
        <v>244</v>
      </c>
      <c r="F4239" s="23" t="s">
        <v>245</v>
      </c>
      <c r="G4239" s="23" t="s">
        <v>246</v>
      </c>
      <c r="H4239" s="23" t="s">
        <v>247</v>
      </c>
      <c r="I4239" s="23" t="s">
        <v>259</v>
      </c>
      <c r="J4239" s="23" t="s">
        <v>260</v>
      </c>
      <c r="K4239" s="23" t="s">
        <v>261</v>
      </c>
      <c r="O4239" s="4"/>
    </row>
    <row r="4240" spans="1:16" ht="1" customHeight="1" x14ac:dyDescent="0.35">
      <c r="B4240" s="24" t="s">
        <v>249</v>
      </c>
      <c r="C4240" s="25">
        <v>320</v>
      </c>
      <c r="D4240" s="25">
        <v>350</v>
      </c>
      <c r="E4240" s="25">
        <v>377</v>
      </c>
      <c r="F4240" s="25">
        <v>384</v>
      </c>
      <c r="G4240" s="25">
        <v>388</v>
      </c>
      <c r="H4240" s="25">
        <v>392</v>
      </c>
      <c r="I4240" s="25">
        <v>395</v>
      </c>
      <c r="J4240" s="25">
        <v>415</v>
      </c>
      <c r="K4240" s="25">
        <v>415</v>
      </c>
      <c r="O4240" t="e">
        <f>(O4238-3*O4237)/O4239</f>
        <v>#DIV/0!</v>
      </c>
    </row>
    <row r="4241" spans="1:16" ht="15.75" customHeight="1" x14ac:dyDescent="0.35">
      <c r="B4241" s="20" t="s">
        <v>250</v>
      </c>
      <c r="C4241" s="26">
        <v>0.24652777777777779</v>
      </c>
      <c r="D4241" s="26">
        <v>0.32291666666666669</v>
      </c>
      <c r="E4241" s="26">
        <v>0.3923611111111111</v>
      </c>
      <c r="F4241" s="26">
        <f>E4241+'Lookup Tables'!$N$1</f>
        <v>0.41319444444444442</v>
      </c>
      <c r="G4241" s="26">
        <f>F4241+'Lookup Tables'!$N$1</f>
        <v>0.43402777777777773</v>
      </c>
      <c r="H4241" s="26">
        <f>G4241+'Lookup Tables'!$N$1</f>
        <v>0.45486111111111105</v>
      </c>
      <c r="I4241" s="26">
        <f>H4241+'Lookup Tables'!$N$1</f>
        <v>0.47569444444444436</v>
      </c>
      <c r="J4241" s="26">
        <f>I4241+'Lookup Tables'!$M$1</f>
        <v>0.48611111111111105</v>
      </c>
      <c r="K4241" s="26">
        <f>J4241+'Lookup Tables'!$M$1</f>
        <v>0.49652777777777773</v>
      </c>
      <c r="N4241">
        <f>MAX(F4238:M4238)-O4241</f>
        <v>27</v>
      </c>
      <c r="O4241" t="str">
        <f>RIGHT(E4238,3)</f>
        <v>360</v>
      </c>
    </row>
    <row r="4242" spans="1:16" ht="15.75" customHeight="1" x14ac:dyDescent="0.35">
      <c r="B4242" s="20" t="s">
        <v>251</v>
      </c>
      <c r="C4242" s="27">
        <v>0.2</v>
      </c>
      <c r="D4242" s="27">
        <v>0.5</v>
      </c>
      <c r="E4242" s="27"/>
      <c r="F4242" s="27"/>
      <c r="G4242" s="27"/>
      <c r="H4242" s="27" t="s">
        <v>274</v>
      </c>
      <c r="I4242" s="27"/>
      <c r="J4242" s="27"/>
      <c r="K4242" s="25"/>
      <c r="N4242" t="str">
        <f xml:space="preserve">  N4241 &amp; " degrees this time"</f>
        <v>27 degrees this time</v>
      </c>
    </row>
    <row r="4243" spans="1:16" ht="15.75" customHeight="1" x14ac:dyDescent="0.35">
      <c r="B4243" s="20" t="s">
        <v>252</v>
      </c>
      <c r="C4243" s="27">
        <v>0.9</v>
      </c>
      <c r="D4243" s="27">
        <v>0.7</v>
      </c>
      <c r="E4243" s="27">
        <v>0.6</v>
      </c>
      <c r="F4243" s="27"/>
      <c r="G4243" s="27"/>
      <c r="H4243" s="27" t="s">
        <v>274</v>
      </c>
      <c r="I4243" s="27"/>
      <c r="J4243" s="27"/>
      <c r="K4243" s="27"/>
    </row>
    <row r="4244" spans="1:16" ht="15.75" customHeight="1" x14ac:dyDescent="0.35">
      <c r="B4244" s="20"/>
      <c r="D4244" s="11"/>
      <c r="E4244" s="11"/>
      <c r="F4244" s="28"/>
      <c r="H4244" s="1"/>
      <c r="I4244" s="1"/>
    </row>
    <row r="4245" spans="1:16" ht="15.75" customHeight="1" x14ac:dyDescent="0.35">
      <c r="G4245" s="1" t="s">
        <v>383</v>
      </c>
      <c r="K4245" s="9"/>
      <c r="L4245" s="9"/>
      <c r="M4245" s="9"/>
    </row>
    <row r="4246" spans="1:16" ht="15.75" customHeight="1" x14ac:dyDescent="0.35">
      <c r="B4246" s="20"/>
      <c r="G4246" s="1"/>
      <c r="H4246" s="1"/>
      <c r="K4246" s="9"/>
      <c r="L4246" s="9"/>
      <c r="M4246" s="9"/>
    </row>
    <row r="4247" spans="1:16" ht="15.75" customHeight="1" x14ac:dyDescent="0.35">
      <c r="B4247" s="20"/>
      <c r="G4247" s="1"/>
      <c r="H4247" s="1"/>
      <c r="K4247" s="9" t="s">
        <v>254</v>
      </c>
      <c r="L4247" s="9"/>
      <c r="M4247" s="9"/>
    </row>
    <row r="4248" spans="1:16" ht="15.75" customHeight="1" x14ac:dyDescent="0.35">
      <c r="B4248" s="9"/>
      <c r="C4248" s="9"/>
      <c r="D4248" s="9"/>
      <c r="E4248" s="9"/>
      <c r="F4248" s="12"/>
      <c r="G4248" s="12"/>
      <c r="H4248" s="12"/>
      <c r="I4248" s="12"/>
      <c r="J4248" s="12"/>
      <c r="K4248" s="12"/>
      <c r="L4248" s="1"/>
    </row>
    <row r="4249" spans="1:16" ht="15.75" customHeight="1" x14ac:dyDescent="0.35">
      <c r="B4249" s="13"/>
      <c r="C4249" s="13"/>
      <c r="D4249" s="15"/>
      <c r="F4249" s="33" t="s">
        <v>326</v>
      </c>
      <c r="H4249" s="14" t="s">
        <v>255</v>
      </c>
      <c r="I4249" s="14"/>
    </row>
    <row r="4250" spans="1:16" x14ac:dyDescent="0.35">
      <c r="B4250" s="13" t="s">
        <v>5</v>
      </c>
      <c r="C4250" s="13" t="s">
        <v>1</v>
      </c>
      <c r="D4250" s="15" t="str">
        <f>VLOOKUP(A4251,Inventory!$A$4:$K$1139,7)</f>
        <v xml:space="preserve">GCBC                               </v>
      </c>
      <c r="F4250" s="13" t="s">
        <v>235</v>
      </c>
      <c r="G4250" s="16"/>
      <c r="H4250" s="14" t="s">
        <v>256</v>
      </c>
      <c r="L4250" s="17"/>
      <c r="M4250" s="17"/>
    </row>
    <row r="4251" spans="1:16" x14ac:dyDescent="0.35">
      <c r="A4251">
        <v>149</v>
      </c>
      <c r="B4251" s="5">
        <v>43925</v>
      </c>
      <c r="C4251" s="15" t="str">
        <f>VLOOKUP(A4251,Inventory!$A$4:$K$1139,2)</f>
        <v>Organic Ethiopian Sidamo WP 2018 Decaf</v>
      </c>
      <c r="F4251" s="18" t="s">
        <v>257</v>
      </c>
      <c r="G4251" s="2" t="s">
        <v>238</v>
      </c>
      <c r="L4251" s="17"/>
      <c r="M4251" s="17"/>
      <c r="P4251" s="8"/>
    </row>
    <row r="4252" spans="1:16" x14ac:dyDescent="0.35">
      <c r="L4252" s="19"/>
      <c r="M4252" s="19"/>
    </row>
    <row r="4253" spans="1:16" x14ac:dyDescent="0.35">
      <c r="C4253" s="11" t="s">
        <v>240</v>
      </c>
      <c r="D4253" s="11" t="s">
        <v>241</v>
      </c>
      <c r="E4253" s="11" t="s">
        <v>426</v>
      </c>
      <c r="F4253" s="11">
        <v>375</v>
      </c>
      <c r="G4253" s="11">
        <v>381</v>
      </c>
      <c r="H4253" s="11">
        <v>385</v>
      </c>
      <c r="I4253" s="11">
        <v>390</v>
      </c>
      <c r="J4253" s="11">
        <v>395</v>
      </c>
      <c r="K4253" s="11"/>
      <c r="L4253" s="11"/>
    </row>
    <row r="4254" spans="1:16" ht="15.75" customHeight="1" x14ac:dyDescent="0.35">
      <c r="B4254" s="20" t="s">
        <v>242</v>
      </c>
      <c r="C4254" s="30"/>
      <c r="D4254" s="30"/>
      <c r="E4254" s="23" t="s">
        <v>244</v>
      </c>
      <c r="F4254" s="23" t="s">
        <v>245</v>
      </c>
      <c r="G4254" s="23" t="s">
        <v>246</v>
      </c>
      <c r="H4254" s="23" t="s">
        <v>247</v>
      </c>
      <c r="I4254" s="23" t="s">
        <v>259</v>
      </c>
      <c r="J4254" s="23" t="s">
        <v>260</v>
      </c>
      <c r="K4254" s="23" t="s">
        <v>261</v>
      </c>
      <c r="O4254" s="4"/>
    </row>
    <row r="4255" spans="1:16" ht="1" customHeight="1" x14ac:dyDescent="0.35">
      <c r="B4255" s="24" t="s">
        <v>249</v>
      </c>
      <c r="C4255" s="25">
        <v>320</v>
      </c>
      <c r="D4255" s="25">
        <v>350</v>
      </c>
      <c r="E4255" s="25">
        <v>377</v>
      </c>
      <c r="F4255" s="25">
        <v>384</v>
      </c>
      <c r="G4255" s="25">
        <v>388</v>
      </c>
      <c r="H4255" s="25">
        <v>392</v>
      </c>
      <c r="I4255" s="25">
        <v>395</v>
      </c>
      <c r="J4255" s="25">
        <v>415</v>
      </c>
      <c r="K4255" s="25">
        <v>415</v>
      </c>
      <c r="O4255" t="e">
        <f>(O4253-3*O4252)/O4254</f>
        <v>#DIV/0!</v>
      </c>
    </row>
    <row r="4256" spans="1:16" ht="15.75" customHeight="1" x14ac:dyDescent="0.35">
      <c r="B4256" s="20" t="s">
        <v>250</v>
      </c>
      <c r="C4256" s="26">
        <v>0.21875</v>
      </c>
      <c r="D4256" s="26">
        <v>0.2951388888888889</v>
      </c>
      <c r="E4256" s="26">
        <v>0.3888888888888889</v>
      </c>
      <c r="F4256" s="26">
        <f>E4256+'Lookup Tables'!$N$1</f>
        <v>0.40972222222222221</v>
      </c>
      <c r="G4256" s="26">
        <f>F4256+'Lookup Tables'!$N$1</f>
        <v>0.43055555555555552</v>
      </c>
      <c r="H4256" s="26">
        <f>G4256+'Lookup Tables'!$N$1</f>
        <v>0.45138888888888884</v>
      </c>
      <c r="I4256" s="26">
        <f>H4256+'Lookup Tables'!$N$1</f>
        <v>0.47222222222222215</v>
      </c>
      <c r="J4256" s="26">
        <f>I4256+'Lookup Tables'!$M$1</f>
        <v>0.48263888888888884</v>
      </c>
      <c r="K4256" s="26">
        <f>J4256+'Lookup Tables'!$M$1</f>
        <v>0.49305555555555552</v>
      </c>
      <c r="N4256">
        <f>MAX(F4253:M4253)-O4256</f>
        <v>25</v>
      </c>
      <c r="O4256" t="str">
        <f>RIGHT(E4253,3)</f>
        <v>370</v>
      </c>
    </row>
    <row r="4257" spans="1:16" ht="15.75" customHeight="1" x14ac:dyDescent="0.35">
      <c r="B4257" s="20" t="s">
        <v>251</v>
      </c>
      <c r="C4257" s="27">
        <v>0.2</v>
      </c>
      <c r="D4257" s="27">
        <v>0.5</v>
      </c>
      <c r="E4257" s="27"/>
      <c r="F4257" s="27"/>
      <c r="G4257" s="27"/>
      <c r="H4257" s="27"/>
      <c r="I4257" s="27"/>
      <c r="J4257" s="27"/>
      <c r="K4257" s="25"/>
      <c r="N4257" t="str">
        <f xml:space="preserve">  N4256 &amp; " degrees this time"</f>
        <v>25 degrees this time</v>
      </c>
    </row>
    <row r="4258" spans="1:16" ht="15.75" customHeight="1" x14ac:dyDescent="0.35">
      <c r="B4258" s="20" t="s">
        <v>252</v>
      </c>
      <c r="C4258" s="27">
        <v>0.9</v>
      </c>
      <c r="D4258" s="27">
        <v>0.7</v>
      </c>
      <c r="E4258" s="27">
        <v>0.6</v>
      </c>
      <c r="F4258" s="27"/>
      <c r="G4258" s="27"/>
      <c r="H4258" s="27"/>
      <c r="I4258" s="27"/>
      <c r="J4258" s="27"/>
      <c r="K4258" s="27"/>
    </row>
    <row r="4259" spans="1:16" ht="15.75" customHeight="1" x14ac:dyDescent="0.35">
      <c r="B4259" s="20"/>
      <c r="D4259" s="11"/>
      <c r="E4259" s="11"/>
      <c r="F4259" s="28"/>
      <c r="H4259" s="1"/>
    </row>
    <row r="4260" spans="1:16" ht="15.75" customHeight="1" x14ac:dyDescent="0.35">
      <c r="B4260" s="1" t="s">
        <v>385</v>
      </c>
      <c r="F4260" t="s">
        <v>263</v>
      </c>
      <c r="G4260" s="1"/>
      <c r="K4260" s="9" t="s">
        <v>386</v>
      </c>
      <c r="L4260" s="9"/>
      <c r="M4260" s="9"/>
    </row>
    <row r="4261" spans="1:16" ht="15.75" customHeight="1" x14ac:dyDescent="0.35">
      <c r="B4261" s="20" t="s">
        <v>264</v>
      </c>
      <c r="D4261" s="29"/>
      <c r="F4261" t="s">
        <v>265</v>
      </c>
      <c r="G4261" s="1"/>
      <c r="H4261" s="1"/>
      <c r="K4261" s="9"/>
      <c r="L4261" s="9"/>
      <c r="M4261" s="9"/>
    </row>
    <row r="4262" spans="1:16" ht="15.75" customHeight="1" x14ac:dyDescent="0.35">
      <c r="B4262" s="20" t="s">
        <v>267</v>
      </c>
      <c r="F4262" t="s">
        <v>268</v>
      </c>
      <c r="G4262" s="1"/>
      <c r="H4262" s="1"/>
      <c r="K4262" s="9" t="s">
        <v>254</v>
      </c>
      <c r="L4262" s="9"/>
      <c r="M4262" s="9"/>
    </row>
    <row r="4263" spans="1:16" ht="15.75" customHeight="1" x14ac:dyDescent="0.35">
      <c r="B4263" s="9"/>
      <c r="C4263" s="9"/>
      <c r="D4263" s="9"/>
      <c r="E4263" s="9"/>
      <c r="F4263" s="12"/>
      <c r="G4263" s="12"/>
      <c r="H4263" s="12"/>
      <c r="I4263" s="12"/>
      <c r="J4263" s="12"/>
      <c r="K4263" s="12"/>
      <c r="L4263" s="1"/>
    </row>
    <row r="4264" spans="1:16" ht="15.75" customHeight="1" x14ac:dyDescent="0.35">
      <c r="B4264" s="13"/>
      <c r="C4264" s="13"/>
      <c r="D4264" s="13"/>
      <c r="E4264" s="13"/>
      <c r="F4264" s="13"/>
      <c r="G4264" s="13"/>
      <c r="I4264" s="14"/>
    </row>
    <row r="4265" spans="1:16" x14ac:dyDescent="0.35">
      <c r="B4265" s="13" t="s">
        <v>5</v>
      </c>
      <c r="C4265" s="13" t="s">
        <v>1</v>
      </c>
      <c r="D4265" s="15" t="str">
        <f>VLOOKUP(A4266,Inventory!$A$4:$K$1139,7)</f>
        <v xml:space="preserve">GCBC                               </v>
      </c>
      <c r="F4265" s="13" t="s">
        <v>235</v>
      </c>
      <c r="G4265" s="16"/>
      <c r="H4265" s="14" t="s">
        <v>236</v>
      </c>
      <c r="L4265" s="17"/>
      <c r="M4265" s="17"/>
    </row>
    <row r="4266" spans="1:16" x14ac:dyDescent="0.35">
      <c r="A4266">
        <v>155</v>
      </c>
      <c r="B4266" s="5">
        <v>43925</v>
      </c>
      <c r="C4266" s="15" t="str">
        <f>VLOOKUP(A4266,Inventory!$A$4:$K$1139,2)</f>
        <v>Organic Ethiopian Sidamo 2019 WP Decaf</v>
      </c>
      <c r="F4266" s="18" t="s">
        <v>237</v>
      </c>
      <c r="G4266" s="2" t="s">
        <v>238</v>
      </c>
      <c r="L4266" s="17"/>
      <c r="M4266" s="17"/>
      <c r="P4266" s="8"/>
    </row>
    <row r="4267" spans="1:16" x14ac:dyDescent="0.35">
      <c r="J4267" s="1" t="s">
        <v>16</v>
      </c>
      <c r="L4267" s="19"/>
      <c r="M4267" s="19"/>
    </row>
    <row r="4268" spans="1:16" x14ac:dyDescent="0.35">
      <c r="C4268" s="11" t="s">
        <v>240</v>
      </c>
      <c r="D4268" s="11" t="s">
        <v>241</v>
      </c>
      <c r="E4268" s="11" t="s">
        <v>432</v>
      </c>
      <c r="F4268" s="11">
        <v>370</v>
      </c>
      <c r="G4268" s="11">
        <v>376</v>
      </c>
      <c r="H4268" s="11">
        <v>382</v>
      </c>
      <c r="I4268" s="11">
        <v>390</v>
      </c>
      <c r="J4268" s="11"/>
      <c r="K4268" s="11"/>
      <c r="L4268" s="11"/>
    </row>
    <row r="4269" spans="1:16" ht="15.75" customHeight="1" x14ac:dyDescent="0.35">
      <c r="B4269" s="20" t="s">
        <v>242</v>
      </c>
      <c r="C4269" s="30"/>
      <c r="D4269" s="22" t="s">
        <v>433</v>
      </c>
      <c r="E4269" s="23" t="s">
        <v>244</v>
      </c>
      <c r="F4269" s="23" t="s">
        <v>245</v>
      </c>
      <c r="G4269" s="23" t="s">
        <v>246</v>
      </c>
      <c r="H4269" s="23" t="s">
        <v>247</v>
      </c>
      <c r="I4269" s="23" t="s">
        <v>259</v>
      </c>
      <c r="J4269" s="23" t="s">
        <v>260</v>
      </c>
      <c r="K4269" s="23" t="s">
        <v>261</v>
      </c>
      <c r="O4269" s="4"/>
    </row>
    <row r="4270" spans="1:16" ht="1" customHeight="1" x14ac:dyDescent="0.35">
      <c r="B4270" s="24" t="s">
        <v>249</v>
      </c>
      <c r="C4270" s="25">
        <v>320</v>
      </c>
      <c r="D4270" s="25">
        <v>350</v>
      </c>
      <c r="E4270" s="25">
        <v>377</v>
      </c>
      <c r="F4270" s="25">
        <v>384</v>
      </c>
      <c r="G4270" s="25">
        <v>388</v>
      </c>
      <c r="H4270" s="25">
        <v>392</v>
      </c>
      <c r="I4270" s="25">
        <v>395</v>
      </c>
      <c r="J4270" s="25">
        <v>415</v>
      </c>
      <c r="K4270" s="25">
        <v>415</v>
      </c>
      <c r="O4270" t="e">
        <f>(O4268-3*O4267)/O4269</f>
        <v>#DIV/0!</v>
      </c>
    </row>
    <row r="4271" spans="1:16" ht="15.75" customHeight="1" x14ac:dyDescent="0.35">
      <c r="B4271" s="20" t="s">
        <v>250</v>
      </c>
      <c r="C4271" s="26">
        <v>0.23263888888888887</v>
      </c>
      <c r="D4271" s="26">
        <v>0.30208333333333331</v>
      </c>
      <c r="E4271" s="26">
        <v>0.375</v>
      </c>
      <c r="F4271" s="26">
        <f>E4271+'Lookup Tables'!$N$1</f>
        <v>0.39583333333333331</v>
      </c>
      <c r="G4271" s="26">
        <f>F4271+'Lookup Tables'!$N$1</f>
        <v>0.41666666666666663</v>
      </c>
      <c r="H4271" s="26">
        <f>G4271+'Lookup Tables'!$N$1</f>
        <v>0.43749999999999994</v>
      </c>
      <c r="I4271" s="26">
        <f>H4271+'Lookup Tables'!$N$1</f>
        <v>0.45833333333333326</v>
      </c>
      <c r="J4271" s="26">
        <f>I4271+'Lookup Tables'!$M$1</f>
        <v>0.46874999999999994</v>
      </c>
      <c r="K4271" s="26">
        <f>J4271+'Lookup Tables'!$M$1</f>
        <v>0.47916666666666663</v>
      </c>
      <c r="N4271">
        <f>MAX(F4268:M4268)-O4271</f>
        <v>27</v>
      </c>
      <c r="O4271" t="str">
        <f>RIGHT(E4268,3)</f>
        <v>363</v>
      </c>
    </row>
    <row r="4272" spans="1:16" ht="15.75" customHeight="1" x14ac:dyDescent="0.35">
      <c r="B4272" s="20" t="s">
        <v>251</v>
      </c>
      <c r="C4272" s="27">
        <v>0.2</v>
      </c>
      <c r="D4272" s="27">
        <v>0.5</v>
      </c>
      <c r="E4272" s="27"/>
      <c r="F4272" s="27"/>
      <c r="G4272" s="27"/>
      <c r="H4272" s="27"/>
      <c r="I4272" s="27"/>
      <c r="J4272" s="27"/>
      <c r="K4272" s="27"/>
      <c r="N4272" t="str">
        <f xml:space="preserve">  N4271 &amp; " degrees this time"</f>
        <v>27 degrees this time</v>
      </c>
    </row>
    <row r="4273" spans="1:16" ht="15.75" customHeight="1" x14ac:dyDescent="0.35">
      <c r="B4273" s="20" t="s">
        <v>252</v>
      </c>
      <c r="C4273" s="27">
        <v>0.9</v>
      </c>
      <c r="D4273" s="27">
        <v>0.7</v>
      </c>
      <c r="E4273" s="27">
        <v>0.6</v>
      </c>
      <c r="F4273" s="27"/>
      <c r="G4273" s="27"/>
      <c r="H4273" s="27"/>
      <c r="I4273" s="27"/>
      <c r="J4273" s="27"/>
      <c r="K4273" s="27"/>
    </row>
    <row r="4274" spans="1:16" ht="15.75" customHeight="1" x14ac:dyDescent="0.35">
      <c r="B4274" s="20"/>
      <c r="D4274" s="11"/>
      <c r="E4274" s="11"/>
      <c r="F4274" s="28"/>
      <c r="H4274" s="1"/>
      <c r="I4274" s="1"/>
    </row>
    <row r="4275" spans="1:16" ht="15.75" customHeight="1" x14ac:dyDescent="0.35">
      <c r="G4275" s="1" t="s">
        <v>383</v>
      </c>
      <c r="K4275" s="9"/>
      <c r="L4275" s="9"/>
      <c r="M4275" s="9"/>
    </row>
    <row r="4276" spans="1:16" ht="15.75" customHeight="1" x14ac:dyDescent="0.35">
      <c r="B4276" s="20"/>
      <c r="G4276" s="1"/>
      <c r="H4276" s="1"/>
      <c r="K4276" s="9"/>
      <c r="L4276" s="9"/>
      <c r="M4276" s="9"/>
    </row>
    <row r="4277" spans="1:16" ht="15.75" customHeight="1" x14ac:dyDescent="0.35">
      <c r="B4277" s="20"/>
      <c r="G4277" s="1"/>
      <c r="H4277" s="1"/>
      <c r="K4277" s="9" t="s">
        <v>254</v>
      </c>
      <c r="L4277" s="9"/>
      <c r="M4277" s="9"/>
    </row>
    <row r="4278" spans="1:16" ht="15.75" customHeight="1" x14ac:dyDescent="0.35">
      <c r="B4278" s="9"/>
      <c r="C4278" s="9"/>
      <c r="D4278" s="9"/>
      <c r="E4278" s="9"/>
      <c r="F4278" s="12"/>
      <c r="G4278" s="12"/>
      <c r="H4278" s="12"/>
      <c r="I4278" s="12"/>
      <c r="J4278" s="12"/>
      <c r="K4278" s="12"/>
      <c r="L4278" s="1"/>
    </row>
    <row r="4279" spans="1:16" ht="15.75" customHeight="1" x14ac:dyDescent="0.35">
      <c r="B4279" s="13"/>
      <c r="C4279" s="13"/>
      <c r="D4279" s="15"/>
      <c r="H4279" s="14" t="s">
        <v>255</v>
      </c>
      <c r="I4279" s="14"/>
    </row>
    <row r="4280" spans="1:16" x14ac:dyDescent="0.35">
      <c r="B4280" s="13" t="s">
        <v>5</v>
      </c>
      <c r="C4280" s="13" t="s">
        <v>1</v>
      </c>
      <c r="D4280" s="15" t="str">
        <f>VLOOKUP(A4281,Inventory!$A$4:$K$1139,7)</f>
        <v xml:space="preserve">GCBC                               </v>
      </c>
      <c r="F4280" s="13" t="s">
        <v>235</v>
      </c>
      <c r="G4280" s="16"/>
      <c r="H4280" s="14" t="s">
        <v>256</v>
      </c>
      <c r="L4280" s="17"/>
      <c r="M4280" s="17"/>
    </row>
    <row r="4281" spans="1:16" x14ac:dyDescent="0.35">
      <c r="A4281">
        <v>155</v>
      </c>
      <c r="B4281" s="5">
        <v>43925</v>
      </c>
      <c r="C4281" s="15" t="str">
        <f>VLOOKUP(A4281,Inventory!$A$4:$K$1139,2)</f>
        <v>Organic Ethiopian Sidamo 2019 WP Decaf</v>
      </c>
      <c r="F4281" s="18" t="s">
        <v>257</v>
      </c>
      <c r="G4281" s="2" t="s">
        <v>238</v>
      </c>
      <c r="L4281" s="17"/>
      <c r="M4281" s="17"/>
      <c r="P4281" s="8"/>
    </row>
    <row r="4282" spans="1:16" x14ac:dyDescent="0.35">
      <c r="L4282" s="19"/>
      <c r="M4282" s="19"/>
    </row>
    <row r="4283" spans="1:16" x14ac:dyDescent="0.35">
      <c r="C4283" s="11" t="s">
        <v>240</v>
      </c>
      <c r="D4283" s="11" t="s">
        <v>241</v>
      </c>
      <c r="E4283" s="11" t="s">
        <v>426</v>
      </c>
      <c r="F4283" s="11">
        <v>375</v>
      </c>
      <c r="G4283" s="11">
        <v>381</v>
      </c>
      <c r="H4283" s="11">
        <v>386</v>
      </c>
      <c r="I4283" s="11">
        <v>391</v>
      </c>
      <c r="J4283" s="11">
        <v>395</v>
      </c>
      <c r="K4283" s="11"/>
      <c r="L4283" s="11"/>
    </row>
    <row r="4284" spans="1:16" ht="15.75" customHeight="1" x14ac:dyDescent="0.35">
      <c r="B4284" s="20" t="s">
        <v>242</v>
      </c>
      <c r="C4284" s="30"/>
      <c r="D4284" s="30"/>
      <c r="E4284" s="23" t="s">
        <v>244</v>
      </c>
      <c r="F4284" s="23" t="s">
        <v>245</v>
      </c>
      <c r="G4284" s="23" t="s">
        <v>246</v>
      </c>
      <c r="H4284" s="23" t="s">
        <v>247</v>
      </c>
      <c r="I4284" s="23" t="s">
        <v>259</v>
      </c>
      <c r="J4284" s="23" t="s">
        <v>260</v>
      </c>
      <c r="K4284" s="23" t="s">
        <v>261</v>
      </c>
      <c r="O4284" s="4"/>
    </row>
    <row r="4285" spans="1:16" ht="1" customHeight="1" x14ac:dyDescent="0.35">
      <c r="B4285" s="24" t="s">
        <v>249</v>
      </c>
      <c r="C4285" s="25">
        <v>320</v>
      </c>
      <c r="D4285" s="25">
        <v>350</v>
      </c>
      <c r="E4285" s="25">
        <v>377</v>
      </c>
      <c r="F4285" s="25">
        <v>384</v>
      </c>
      <c r="G4285" s="25">
        <v>388</v>
      </c>
      <c r="H4285" s="25">
        <v>392</v>
      </c>
      <c r="I4285" s="25">
        <v>395</v>
      </c>
      <c r="J4285" s="25">
        <v>415</v>
      </c>
      <c r="K4285" s="25">
        <v>415</v>
      </c>
      <c r="O4285" t="e">
        <f>(O4283-3*O4282)/O4284</f>
        <v>#DIV/0!</v>
      </c>
    </row>
    <row r="4286" spans="1:16" ht="15.75" customHeight="1" x14ac:dyDescent="0.35">
      <c r="B4286" s="20" t="s">
        <v>250</v>
      </c>
      <c r="C4286" s="26">
        <v>0.20486111111111113</v>
      </c>
      <c r="D4286" s="26">
        <v>0.27430555555555552</v>
      </c>
      <c r="E4286" s="26">
        <v>0.36458333333333331</v>
      </c>
      <c r="F4286" s="26">
        <f>E4286+'Lookup Tables'!$N$1</f>
        <v>0.38541666666666663</v>
      </c>
      <c r="G4286" s="26">
        <f>F4286+'Lookup Tables'!$N$1</f>
        <v>0.40624999999999994</v>
      </c>
      <c r="H4286" s="26">
        <f>G4286+'Lookup Tables'!$N$1</f>
        <v>0.42708333333333326</v>
      </c>
      <c r="I4286" s="26">
        <f>H4286+'Lookup Tables'!$N$1</f>
        <v>0.44791666666666657</v>
      </c>
      <c r="J4286" s="26">
        <f>I4286+'Lookup Tables'!$M$1</f>
        <v>0.45833333333333326</v>
      </c>
      <c r="K4286" s="26">
        <f>J4286+'Lookup Tables'!$M$1</f>
        <v>0.46874999999999994</v>
      </c>
      <c r="N4286">
        <f>MAX(F4283:M4283)-O4286</f>
        <v>25</v>
      </c>
      <c r="O4286" t="str">
        <f>RIGHT(E4283,3)</f>
        <v>370</v>
      </c>
    </row>
    <row r="4287" spans="1:16" ht="15.75" customHeight="1" x14ac:dyDescent="0.35">
      <c r="B4287" s="20" t="s">
        <v>251</v>
      </c>
      <c r="C4287" s="27">
        <v>0.2</v>
      </c>
      <c r="D4287" s="27">
        <v>0.5</v>
      </c>
      <c r="E4287" s="27"/>
      <c r="F4287" s="27"/>
      <c r="G4287" s="27"/>
      <c r="H4287" s="27"/>
      <c r="I4287" s="27"/>
      <c r="J4287" s="27"/>
      <c r="K4287" s="25"/>
      <c r="N4287" t="str">
        <f xml:space="preserve">  N4286 &amp; " degrees this time"</f>
        <v>25 degrees this time</v>
      </c>
    </row>
    <row r="4288" spans="1:16" ht="15.75" customHeight="1" x14ac:dyDescent="0.35">
      <c r="B4288" s="20" t="s">
        <v>252</v>
      </c>
      <c r="C4288" s="27">
        <v>0.9</v>
      </c>
      <c r="D4288" s="27">
        <v>0.7</v>
      </c>
      <c r="E4288" s="27">
        <v>0.6</v>
      </c>
      <c r="F4288" s="27"/>
      <c r="G4288" s="27"/>
      <c r="H4288" s="27"/>
      <c r="I4288" s="27"/>
      <c r="J4288" s="27"/>
      <c r="K4288" s="27"/>
    </row>
    <row r="4289" spans="1:16" ht="15.75" customHeight="1" x14ac:dyDescent="0.35">
      <c r="B4289" s="20"/>
      <c r="D4289" s="11"/>
      <c r="E4289" s="11"/>
      <c r="F4289" s="28"/>
      <c r="H4289" s="1"/>
    </row>
    <row r="4290" spans="1:16" ht="15.75" customHeight="1" x14ac:dyDescent="0.35">
      <c r="B4290" s="1" t="s">
        <v>385</v>
      </c>
      <c r="F4290" t="s">
        <v>263</v>
      </c>
      <c r="G4290" s="1"/>
      <c r="K4290" s="9"/>
      <c r="L4290" s="9"/>
      <c r="M4290" s="9"/>
    </row>
    <row r="4291" spans="1:16" ht="15.75" customHeight="1" x14ac:dyDescent="0.35">
      <c r="B4291" s="20" t="s">
        <v>264</v>
      </c>
      <c r="D4291" s="29"/>
      <c r="F4291" t="s">
        <v>265</v>
      </c>
      <c r="G4291" s="1"/>
      <c r="H4291" s="1"/>
      <c r="K4291" s="9" t="s">
        <v>386</v>
      </c>
      <c r="L4291" s="9"/>
      <c r="M4291" s="9"/>
    </row>
    <row r="4292" spans="1:16" ht="15.75" customHeight="1" x14ac:dyDescent="0.35">
      <c r="B4292" s="20" t="s">
        <v>267</v>
      </c>
      <c r="F4292" t="s">
        <v>268</v>
      </c>
      <c r="G4292" s="1"/>
      <c r="H4292" s="1"/>
      <c r="K4292" s="9" t="s">
        <v>254</v>
      </c>
      <c r="L4292" s="9"/>
      <c r="M4292" s="9"/>
    </row>
    <row r="4293" spans="1:16" ht="15.75" customHeight="1" x14ac:dyDescent="0.35">
      <c r="B4293" s="9"/>
      <c r="C4293" s="9"/>
      <c r="D4293" s="9"/>
      <c r="E4293" s="9"/>
      <c r="F4293" s="12"/>
      <c r="G4293" s="12"/>
      <c r="H4293" s="12"/>
      <c r="I4293" s="12"/>
      <c r="J4293" s="12"/>
      <c r="K4293" s="12"/>
      <c r="L4293" s="1"/>
    </row>
    <row r="4294" spans="1:16" ht="15.75" customHeight="1" x14ac:dyDescent="0.35">
      <c r="B4294" s="13"/>
      <c r="C4294" s="13"/>
      <c r="D4294" s="13"/>
      <c r="E4294" s="13"/>
      <c r="F4294" s="33" t="s">
        <v>476</v>
      </c>
      <c r="G4294" s="13"/>
      <c r="H4294" s="13"/>
      <c r="I4294" s="13"/>
    </row>
    <row r="4295" spans="1:16" x14ac:dyDescent="0.35">
      <c r="B4295" s="13" t="s">
        <v>5</v>
      </c>
      <c r="C4295" s="13" t="s">
        <v>1</v>
      </c>
      <c r="D4295" s="15" t="str">
        <f>VLOOKUP(A4296,Inventory!$A$4:$K$1139,7)</f>
        <v>Coffee Bean corral</v>
      </c>
      <c r="F4295" s="13" t="s">
        <v>235</v>
      </c>
      <c r="G4295" s="16"/>
      <c r="L4295" s="17"/>
      <c r="M4295" s="17"/>
    </row>
    <row r="4296" spans="1:16" x14ac:dyDescent="0.35">
      <c r="A4296">
        <v>152</v>
      </c>
      <c r="B4296" s="5">
        <v>43916</v>
      </c>
      <c r="C4296" s="15" t="str">
        <f>VLOOKUP(A4296,Inventory!$A$4:$K$1139,2)</f>
        <v>Nicaragua Organic Jinotega Finca La Isabelia 2018</v>
      </c>
      <c r="E4296" s="11"/>
      <c r="F4296" s="34" t="s">
        <v>279</v>
      </c>
      <c r="G4296" s="2" t="s">
        <v>286</v>
      </c>
      <c r="L4296" s="17"/>
      <c r="M4296" s="17"/>
      <c r="P4296" s="8"/>
    </row>
    <row r="4297" spans="1:16" x14ac:dyDescent="0.35">
      <c r="D4297" s="11"/>
      <c r="E4297" s="11"/>
      <c r="G4297" s="16"/>
      <c r="L4297" s="19"/>
      <c r="M4297" s="19"/>
    </row>
    <row r="4298" spans="1:16" x14ac:dyDescent="0.35">
      <c r="B4298" s="20"/>
      <c r="C4298" s="11" t="s">
        <v>240</v>
      </c>
      <c r="D4298" s="11" t="s">
        <v>395</v>
      </c>
      <c r="E4298" s="11" t="s">
        <v>430</v>
      </c>
      <c r="F4298" s="11">
        <v>375</v>
      </c>
      <c r="G4298" s="11">
        <v>381</v>
      </c>
      <c r="H4298" s="11">
        <v>388</v>
      </c>
      <c r="I4298" s="11">
        <v>391</v>
      </c>
      <c r="J4298" s="11">
        <v>395</v>
      </c>
      <c r="K4298" s="28"/>
      <c r="L4298" s="28"/>
    </row>
    <row r="4299" spans="1:16" ht="15.75" customHeight="1" x14ac:dyDescent="0.35">
      <c r="B4299" s="20" t="s">
        <v>242</v>
      </c>
      <c r="C4299" s="21"/>
      <c r="D4299" s="22" t="s">
        <v>442</v>
      </c>
      <c r="E4299" s="23" t="s">
        <v>244</v>
      </c>
      <c r="F4299" s="23" t="s">
        <v>245</v>
      </c>
      <c r="G4299" s="23" t="s">
        <v>246</v>
      </c>
      <c r="H4299" s="23" t="s">
        <v>247</v>
      </c>
      <c r="I4299" s="23" t="s">
        <v>248</v>
      </c>
      <c r="J4299" s="23" t="s">
        <v>259</v>
      </c>
      <c r="O4299" s="4"/>
    </row>
    <row r="4300" spans="1:16" ht="1" customHeight="1" x14ac:dyDescent="0.35">
      <c r="B4300" s="24" t="s">
        <v>249</v>
      </c>
      <c r="C4300" s="25"/>
      <c r="D4300" s="25"/>
      <c r="E4300" s="25"/>
      <c r="F4300" s="25"/>
      <c r="G4300" s="25"/>
      <c r="H4300" s="25"/>
      <c r="I4300" s="25"/>
      <c r="J4300" s="25"/>
      <c r="O4300" t="e">
        <f>(O4298-3*O4297)/O4299</f>
        <v>#DIV/0!</v>
      </c>
    </row>
    <row r="4301" spans="1:16" ht="15.75" customHeight="1" x14ac:dyDescent="0.35">
      <c r="B4301" s="20" t="s">
        <v>250</v>
      </c>
      <c r="C4301" s="26">
        <v>0.23611111111111113</v>
      </c>
      <c r="D4301" s="26">
        <v>0.31944444444444448</v>
      </c>
      <c r="E4301" s="26">
        <v>0.43055555555555558</v>
      </c>
      <c r="F4301" s="26">
        <f>E4301+'Lookup Tables'!$N$1</f>
        <v>0.4513888888888889</v>
      </c>
      <c r="G4301" s="26">
        <f>F4301+'Lookup Tables'!$N$1</f>
        <v>0.47222222222222221</v>
      </c>
      <c r="H4301" s="26">
        <f>G4301+'Lookup Tables'!$S$1</f>
        <v>0.4826388888888889</v>
      </c>
      <c r="I4301" s="26">
        <f>H4301+'Lookup Tables'!$S$1</f>
        <v>0.49305555555555558</v>
      </c>
      <c r="J4301" s="26">
        <f>I4301+'Lookup Tables'!$N$1</f>
        <v>0.51388888888888895</v>
      </c>
      <c r="K4301" s="11"/>
      <c r="N4301">
        <f>MAX(F4298:M4298)-O4301</f>
        <v>27</v>
      </c>
      <c r="O4301" t="str">
        <f>RIGHT(E4298,3)</f>
        <v>368</v>
      </c>
    </row>
    <row r="4302" spans="1:16" ht="15.75" customHeight="1" x14ac:dyDescent="0.35">
      <c r="B4302" s="20" t="s">
        <v>251</v>
      </c>
      <c r="C4302" s="27">
        <v>0.2</v>
      </c>
      <c r="D4302" s="27">
        <v>0.5</v>
      </c>
      <c r="E4302" s="27"/>
      <c r="F4302" s="27"/>
      <c r="G4302" s="27" t="s">
        <v>274</v>
      </c>
      <c r="H4302" s="27"/>
      <c r="I4302" s="25"/>
      <c r="J4302" s="27"/>
      <c r="N4302" t="str">
        <f xml:space="preserve">  N4301 &amp; " degrees this time"</f>
        <v>27 degrees this time</v>
      </c>
    </row>
    <row r="4303" spans="1:16" ht="15.75" customHeight="1" x14ac:dyDescent="0.35">
      <c r="B4303" s="20" t="s">
        <v>252</v>
      </c>
      <c r="C4303" s="27">
        <v>0.9</v>
      </c>
      <c r="D4303" s="27">
        <v>0.7</v>
      </c>
      <c r="E4303" s="27">
        <v>0.6</v>
      </c>
      <c r="F4303" s="27"/>
      <c r="G4303" s="27"/>
      <c r="H4303" s="27"/>
      <c r="I4303" s="27"/>
      <c r="J4303" s="27" t="s">
        <v>275</v>
      </c>
    </row>
    <row r="4304" spans="1:16" ht="15.75" customHeight="1" x14ac:dyDescent="0.35">
      <c r="B4304" s="20"/>
      <c r="D4304" s="11"/>
      <c r="E4304" s="11"/>
      <c r="F4304" s="11"/>
      <c r="G4304" s="1"/>
      <c r="H4304" s="55"/>
    </row>
    <row r="4305" spans="1:16" ht="15.75" customHeight="1" x14ac:dyDescent="0.35">
      <c r="B4305" s="20"/>
      <c r="G4305" s="1" t="s">
        <v>496</v>
      </c>
      <c r="K4305" s="9" t="s">
        <v>523</v>
      </c>
      <c r="L4305" s="9"/>
      <c r="M4305" s="9"/>
    </row>
    <row r="4306" spans="1:16" ht="15.75" customHeight="1" x14ac:dyDescent="0.35">
      <c r="B4306" s="30"/>
      <c r="G4306" s="1"/>
      <c r="H4306" s="1"/>
      <c r="K4306" s="32" t="s">
        <v>535</v>
      </c>
      <c r="L4306" s="9"/>
      <c r="M4306" s="9"/>
    </row>
    <row r="4307" spans="1:16" ht="15.75" customHeight="1" x14ac:dyDescent="0.35">
      <c r="B4307" s="30"/>
      <c r="G4307" s="1"/>
      <c r="H4307" s="1"/>
      <c r="K4307" s="9"/>
      <c r="L4307" s="9"/>
      <c r="M4307" s="9"/>
    </row>
    <row r="4308" spans="1:16" ht="15.75" customHeight="1" x14ac:dyDescent="0.35">
      <c r="B4308" s="9"/>
      <c r="C4308" s="9"/>
      <c r="D4308" s="9"/>
      <c r="E4308" s="9"/>
      <c r="F4308" s="12"/>
      <c r="G4308" s="12"/>
      <c r="H4308" s="12"/>
      <c r="I4308" s="12"/>
      <c r="J4308" s="12"/>
      <c r="K4308" s="12"/>
      <c r="L4308" s="1"/>
    </row>
    <row r="4309" spans="1:16" ht="15.75" customHeight="1" x14ac:dyDescent="0.35">
      <c r="B4309" s="13"/>
      <c r="C4309" s="13"/>
      <c r="D4309" s="13"/>
      <c r="E4309" s="13"/>
      <c r="F4309" s="13"/>
      <c r="G4309" s="13"/>
      <c r="H4309" s="14" t="s">
        <v>255</v>
      </c>
      <c r="I4309" s="13"/>
    </row>
    <row r="4310" spans="1:16" x14ac:dyDescent="0.35">
      <c r="B4310" s="13" t="s">
        <v>5</v>
      </c>
      <c r="C4310" s="13" t="s">
        <v>1</v>
      </c>
      <c r="D4310" s="15" t="str">
        <f>VLOOKUP(A4311,Inventory!$A$4:$K$1139,7)</f>
        <v xml:space="preserve">Klatch                             </v>
      </c>
      <c r="F4310" s="13" t="s">
        <v>235</v>
      </c>
      <c r="G4310" s="16"/>
      <c r="L4310" s="17"/>
      <c r="M4310" s="17"/>
    </row>
    <row r="4311" spans="1:16" x14ac:dyDescent="0.35">
      <c r="A4311">
        <v>154</v>
      </c>
      <c r="B4311" s="5">
        <v>43916</v>
      </c>
      <c r="C4311" s="15" t="str">
        <f>VLOOKUP(A4311,Inventory!$A$4:$K$1139,2)</f>
        <v>Panama Elida Natural 2019</v>
      </c>
      <c r="F4311" s="31" t="s">
        <v>291</v>
      </c>
      <c r="G4311" s="2" t="s">
        <v>270</v>
      </c>
      <c r="L4311" s="17"/>
      <c r="M4311" s="17"/>
      <c r="P4311" s="8"/>
    </row>
    <row r="4312" spans="1:16" x14ac:dyDescent="0.35">
      <c r="F4312" s="13"/>
      <c r="G4312" s="16"/>
      <c r="L4312" s="19"/>
      <c r="M4312" s="19"/>
    </row>
    <row r="4313" spans="1:16" x14ac:dyDescent="0.35">
      <c r="B4313" s="20"/>
      <c r="C4313" s="11" t="s">
        <v>240</v>
      </c>
      <c r="D4313" s="11" t="s">
        <v>272</v>
      </c>
      <c r="E4313" s="11" t="s">
        <v>513</v>
      </c>
      <c r="F4313" s="11">
        <v>379</v>
      </c>
      <c r="G4313" s="11">
        <v>385</v>
      </c>
      <c r="H4313" s="11">
        <v>388</v>
      </c>
      <c r="I4313" s="11"/>
      <c r="J4313" s="11"/>
      <c r="K4313" s="28"/>
      <c r="L4313" s="28"/>
    </row>
    <row r="4314" spans="1:16" ht="15.75" customHeight="1" x14ac:dyDescent="0.35">
      <c r="B4314" s="20" t="s">
        <v>242</v>
      </c>
      <c r="C4314" s="30"/>
      <c r="D4314" s="30"/>
      <c r="E4314" s="23" t="s">
        <v>244</v>
      </c>
      <c r="F4314" s="23" t="s">
        <v>245</v>
      </c>
      <c r="G4314" s="23" t="s">
        <v>246</v>
      </c>
      <c r="H4314" s="23" t="s">
        <v>273</v>
      </c>
      <c r="O4314" s="4"/>
    </row>
    <row r="4315" spans="1:16" ht="1" customHeight="1" x14ac:dyDescent="0.35">
      <c r="B4315" s="24" t="s">
        <v>249</v>
      </c>
      <c r="C4315" s="25"/>
      <c r="D4315" s="25"/>
      <c r="E4315" s="25"/>
      <c r="F4315" s="25"/>
      <c r="G4315" s="25"/>
      <c r="H4315" s="25"/>
      <c r="O4315" t="e">
        <f>(O4313-3*O4312)/O4314</f>
        <v>#DIV/0!</v>
      </c>
    </row>
    <row r="4316" spans="1:16" ht="15.75" customHeight="1" x14ac:dyDescent="0.35">
      <c r="B4316" s="20" t="s">
        <v>250</v>
      </c>
      <c r="C4316" s="26">
        <v>0.19444444444444445</v>
      </c>
      <c r="D4316" s="26">
        <v>0.27430555555555552</v>
      </c>
      <c r="E4316" s="26">
        <v>0.36805555555555558</v>
      </c>
      <c r="F4316" s="26">
        <f>E4316+'Lookup Tables'!$N$1</f>
        <v>0.3888888888888889</v>
      </c>
      <c r="G4316" s="26">
        <f>F4316+'Lookup Tables'!$N$1</f>
        <v>0.40972222222222221</v>
      </c>
      <c r="H4316" s="26">
        <f>G4316+'Lookup Tables'!$S$1</f>
        <v>0.4201388888888889</v>
      </c>
      <c r="N4316">
        <f>MAX(F4313:M4313)-O4316</f>
        <v>17</v>
      </c>
      <c r="O4316" t="str">
        <f>RIGHT(E4313,3)</f>
        <v>371</v>
      </c>
    </row>
    <row r="4317" spans="1:16" ht="15.75" customHeight="1" x14ac:dyDescent="0.35">
      <c r="B4317" s="20" t="s">
        <v>251</v>
      </c>
      <c r="C4317" s="27">
        <v>0.2</v>
      </c>
      <c r="D4317" s="27">
        <v>0.5</v>
      </c>
      <c r="E4317" s="27">
        <v>0.5</v>
      </c>
      <c r="F4317" s="27" t="s">
        <v>274</v>
      </c>
      <c r="G4317" s="27"/>
      <c r="H4317" s="25"/>
      <c r="N4317" t="str">
        <f xml:space="preserve">  N4316 &amp; " degrees this time"</f>
        <v>17 degrees this time</v>
      </c>
    </row>
    <row r="4318" spans="1:16" ht="15.75" customHeight="1" x14ac:dyDescent="0.35">
      <c r="B4318" s="20" t="s">
        <v>252</v>
      </c>
      <c r="C4318" s="27">
        <v>0.9</v>
      </c>
      <c r="D4318" s="27">
        <v>0.7</v>
      </c>
      <c r="E4318" s="27">
        <v>0.6</v>
      </c>
      <c r="F4318" s="27" t="s">
        <v>274</v>
      </c>
      <c r="G4318" s="27"/>
      <c r="H4318" s="27" t="s">
        <v>275</v>
      </c>
    </row>
    <row r="4319" spans="1:16" ht="15.75" customHeight="1" x14ac:dyDescent="0.35">
      <c r="B4319" s="20"/>
      <c r="D4319" s="11"/>
      <c r="E4319" s="11"/>
      <c r="F4319" s="11"/>
    </row>
    <row r="4320" spans="1:16" ht="15.75" customHeight="1" x14ac:dyDescent="0.35">
      <c r="B4320" s="20"/>
      <c r="C4320" s="30"/>
      <c r="D4320" s="11"/>
      <c r="E4320" s="11"/>
      <c r="F4320" s="11"/>
      <c r="G4320" s="1" t="s">
        <v>276</v>
      </c>
      <c r="K4320" s="9" t="s">
        <v>498</v>
      </c>
      <c r="L4320" s="9"/>
      <c r="M4320" s="9"/>
    </row>
    <row r="4321" spans="1:16" ht="15.75" customHeight="1" x14ac:dyDescent="0.35">
      <c r="B4321" s="20"/>
      <c r="G4321" s="1"/>
      <c r="H4321" s="1"/>
      <c r="K4321" s="9"/>
      <c r="L4321" s="9"/>
      <c r="M4321" s="9"/>
    </row>
    <row r="4322" spans="1:16" ht="15.75" customHeight="1" x14ac:dyDescent="0.35">
      <c r="B4322" s="20"/>
      <c r="G4322" s="1"/>
      <c r="H4322" s="1"/>
      <c r="K4322" s="32" t="s">
        <v>536</v>
      </c>
      <c r="L4322" s="9"/>
      <c r="M4322" s="9"/>
    </row>
    <row r="4323" spans="1:16" ht="15.75" customHeight="1" x14ac:dyDescent="0.35">
      <c r="B4323" s="9"/>
      <c r="C4323" s="9"/>
      <c r="D4323" s="9"/>
      <c r="E4323" s="9"/>
      <c r="F4323" s="12"/>
      <c r="G4323" s="12"/>
      <c r="H4323" s="12"/>
      <c r="I4323" s="12"/>
      <c r="J4323" s="12"/>
      <c r="K4323" s="12"/>
      <c r="L4323" s="1"/>
    </row>
    <row r="4324" spans="1:16" ht="15.75" customHeight="1" x14ac:dyDescent="0.35">
      <c r="B4324" s="13"/>
      <c r="C4324" s="13"/>
      <c r="D4324" s="13"/>
      <c r="E4324" s="13"/>
      <c r="F4324" s="13"/>
      <c r="G4324" s="13"/>
      <c r="I4324" s="14"/>
    </row>
    <row r="4325" spans="1:16" x14ac:dyDescent="0.35">
      <c r="B4325" s="13" t="s">
        <v>5</v>
      </c>
      <c r="C4325" s="13" t="s">
        <v>1</v>
      </c>
      <c r="D4325" s="15" t="str">
        <f>VLOOKUP(A4326,Inventory!$A$4:$K$1139,7)</f>
        <v xml:space="preserve">GCBC                               </v>
      </c>
      <c r="F4325" s="13" t="s">
        <v>235</v>
      </c>
      <c r="G4325" s="16"/>
      <c r="L4325" s="17"/>
      <c r="M4325" s="17"/>
    </row>
    <row r="4326" spans="1:16" x14ac:dyDescent="0.35">
      <c r="A4326">
        <v>140</v>
      </c>
      <c r="B4326" s="5">
        <v>43916</v>
      </c>
      <c r="C4326" s="15" t="str">
        <f>VLOOKUP(A4326,Inventory!$A$4:$K$1139,2)</f>
        <v>El Salvador Finca Buenos Aires Natural 2017</v>
      </c>
      <c r="F4326" s="34" t="s">
        <v>279</v>
      </c>
      <c r="G4326" s="2" t="s">
        <v>270</v>
      </c>
      <c r="L4326" s="17"/>
      <c r="M4326" s="17"/>
      <c r="P4326" s="8"/>
    </row>
    <row r="4327" spans="1:16" x14ac:dyDescent="0.35">
      <c r="D4327" s="40"/>
      <c r="L4327" s="19"/>
      <c r="M4327" s="19"/>
    </row>
    <row r="4328" spans="1:16" x14ac:dyDescent="0.35">
      <c r="B4328" s="20"/>
      <c r="C4328" s="11" t="s">
        <v>240</v>
      </c>
      <c r="D4328" s="11" t="s">
        <v>272</v>
      </c>
      <c r="E4328" s="11" t="s">
        <v>528</v>
      </c>
      <c r="F4328" s="11">
        <v>387</v>
      </c>
      <c r="G4328" s="11">
        <v>399</v>
      </c>
      <c r="H4328" s="11">
        <v>407</v>
      </c>
      <c r="I4328" s="11"/>
      <c r="J4328" s="11"/>
      <c r="K4328" s="28"/>
      <c r="L4328" s="28"/>
    </row>
    <row r="4329" spans="1:16" ht="15.75" customHeight="1" x14ac:dyDescent="0.35">
      <c r="B4329" s="20" t="s">
        <v>242</v>
      </c>
      <c r="C4329" s="21"/>
      <c r="D4329" s="22" t="s">
        <v>294</v>
      </c>
      <c r="E4329" s="23" t="s">
        <v>244</v>
      </c>
      <c r="F4329" s="23" t="s">
        <v>245</v>
      </c>
      <c r="G4329" s="23" t="s">
        <v>246</v>
      </c>
      <c r="H4329" s="23" t="s">
        <v>247</v>
      </c>
      <c r="O4329" s="4"/>
    </row>
    <row r="4330" spans="1:16" ht="1" customHeight="1" x14ac:dyDescent="0.35">
      <c r="B4330" s="24" t="s">
        <v>249</v>
      </c>
      <c r="C4330" s="25"/>
      <c r="D4330" s="25"/>
      <c r="E4330" s="25">
        <v>384</v>
      </c>
      <c r="F4330" s="25">
        <v>392</v>
      </c>
      <c r="G4330" s="25">
        <v>395</v>
      </c>
      <c r="H4330" s="25"/>
      <c r="O4330" t="e">
        <f>(O4328-3*O4327)/O4329</f>
        <v>#DIV/0!</v>
      </c>
    </row>
    <row r="4331" spans="1:16" ht="15.75" customHeight="1" x14ac:dyDescent="0.35">
      <c r="B4331" s="20" t="s">
        <v>250</v>
      </c>
      <c r="C4331" s="26">
        <v>0.22222222222222221</v>
      </c>
      <c r="D4331" s="26">
        <v>0.30902777777777779</v>
      </c>
      <c r="E4331" s="26">
        <v>0.39930555555555558</v>
      </c>
      <c r="F4331" s="26">
        <f>E4331+'Lookup Tables'!$N$1</f>
        <v>0.4201388888888889</v>
      </c>
      <c r="G4331" s="26">
        <f>F4331+'Lookup Tables'!$N$1</f>
        <v>0.44097222222222221</v>
      </c>
      <c r="H4331" s="26">
        <f>G4331+'Lookup Tables'!$N$1</f>
        <v>0.46180555555555552</v>
      </c>
      <c r="N4331">
        <f>MAX(F4328:M4328)-O4331</f>
        <v>28</v>
      </c>
      <c r="O4331" t="str">
        <f>RIGHT(E4328,3)</f>
        <v>379</v>
      </c>
    </row>
    <row r="4332" spans="1:16" ht="15.75" customHeight="1" x14ac:dyDescent="0.35">
      <c r="B4332" s="20" t="s">
        <v>251</v>
      </c>
      <c r="C4332" s="27">
        <v>0.2</v>
      </c>
      <c r="D4332" s="27">
        <v>0.5</v>
      </c>
      <c r="E4332" s="27"/>
      <c r="F4332" s="27" t="s">
        <v>274</v>
      </c>
      <c r="G4332" s="27"/>
      <c r="H4332" s="27"/>
      <c r="N4332" t="str">
        <f xml:space="preserve">  N4331 &amp; " degrees this time"</f>
        <v>28 degrees this time</v>
      </c>
    </row>
    <row r="4333" spans="1:16" ht="15.75" customHeight="1" x14ac:dyDescent="0.35">
      <c r="B4333" s="20" t="s">
        <v>252</v>
      </c>
      <c r="C4333" s="27">
        <v>0.9</v>
      </c>
      <c r="D4333" s="27">
        <v>0.8</v>
      </c>
      <c r="E4333" s="27">
        <v>0.5</v>
      </c>
      <c r="F4333" s="27" t="s">
        <v>274</v>
      </c>
      <c r="G4333" s="27"/>
      <c r="H4333" s="27" t="s">
        <v>275</v>
      </c>
      <c r="K4333" s="9" t="s">
        <v>537</v>
      </c>
      <c r="L4333" s="9"/>
      <c r="M4333" s="9"/>
    </row>
    <row r="4334" spans="1:16" ht="15.75" customHeight="1" x14ac:dyDescent="0.35">
      <c r="B4334" s="20"/>
      <c r="C4334" s="30"/>
      <c r="F4334" s="40" t="s">
        <v>409</v>
      </c>
      <c r="H4334" s="13"/>
      <c r="I4334" s="13"/>
      <c r="J4334" s="35"/>
      <c r="K4334" s="2" t="s">
        <v>538</v>
      </c>
    </row>
    <row r="4335" spans="1:16" ht="15.75" customHeight="1" x14ac:dyDescent="0.35">
      <c r="C4335" s="30"/>
      <c r="G4335" s="1" t="s">
        <v>478</v>
      </c>
      <c r="K4335" s="9"/>
      <c r="L4335" s="9"/>
      <c r="M4335" s="9"/>
    </row>
    <row r="4336" spans="1:16" ht="15.75" customHeight="1" x14ac:dyDescent="0.35">
      <c r="B4336" s="20"/>
      <c r="G4336" s="1"/>
      <c r="H4336" s="1"/>
      <c r="K4336" s="9"/>
      <c r="L4336" s="9"/>
      <c r="M4336" s="9"/>
    </row>
    <row r="4337" spans="1:16" ht="15.75" customHeight="1" x14ac:dyDescent="0.35">
      <c r="B4337" s="20"/>
      <c r="G4337" s="1"/>
      <c r="H4337" s="1"/>
      <c r="K4337" s="32" t="s">
        <v>536</v>
      </c>
      <c r="L4337" s="9"/>
      <c r="M4337" s="9"/>
    </row>
    <row r="4338" spans="1:16" ht="15.75" customHeight="1" x14ac:dyDescent="0.35">
      <c r="B4338" s="9"/>
      <c r="C4338" s="9"/>
      <c r="D4338" s="9"/>
      <c r="E4338" s="9"/>
      <c r="F4338" s="12"/>
      <c r="G4338" s="12"/>
      <c r="H4338" s="12"/>
      <c r="I4338" s="12"/>
      <c r="J4338" s="12"/>
      <c r="K4338" s="12"/>
      <c r="L4338" s="1"/>
    </row>
    <row r="4339" spans="1:16" ht="15.75" customHeight="1" x14ac:dyDescent="0.35">
      <c r="B4339" s="13"/>
      <c r="C4339" s="13"/>
      <c r="D4339" s="15"/>
      <c r="G4339" s="16"/>
      <c r="H4339" s="14" t="s">
        <v>255</v>
      </c>
    </row>
    <row r="4340" spans="1:16" x14ac:dyDescent="0.35">
      <c r="B4340" s="13" t="s">
        <v>5</v>
      </c>
      <c r="C4340" s="13" t="s">
        <v>1</v>
      </c>
      <c r="D4340" s="15" t="str">
        <f>VLOOKUP(A4341,Inventory!$A$4:$K$1139,7)</f>
        <v>Leverhead Coffee</v>
      </c>
      <c r="F4340" s="13" t="s">
        <v>235</v>
      </c>
      <c r="G4340" s="16"/>
      <c r="L4340" s="17"/>
      <c r="M4340" s="17"/>
    </row>
    <row r="4341" spans="1:16" x14ac:dyDescent="0.35">
      <c r="A4341">
        <v>144</v>
      </c>
      <c r="B4341" s="5">
        <v>43916</v>
      </c>
      <c r="C4341" s="15" t="str">
        <f>VLOOKUP(A4341,Inventory!$A$4:$K$1139,2)</f>
        <v>Rwanda Abakundakawa 2018</v>
      </c>
      <c r="F4341" s="31" t="s">
        <v>291</v>
      </c>
      <c r="G4341" s="2" t="s">
        <v>270</v>
      </c>
      <c r="L4341" s="17"/>
      <c r="M4341" s="17"/>
      <c r="P4341" s="8"/>
    </row>
    <row r="4342" spans="1:16" x14ac:dyDescent="0.35">
      <c r="L4342" s="19"/>
      <c r="M4342" s="19"/>
    </row>
    <row r="4343" spans="1:16" x14ac:dyDescent="0.35">
      <c r="B4343" s="20"/>
      <c r="C4343" s="11" t="s">
        <v>240</v>
      </c>
      <c r="D4343" s="11" t="s">
        <v>272</v>
      </c>
      <c r="E4343" s="11" t="s">
        <v>450</v>
      </c>
      <c r="F4343" s="11">
        <v>381</v>
      </c>
      <c r="G4343" s="11">
        <v>386</v>
      </c>
      <c r="H4343" s="11">
        <v>394</v>
      </c>
      <c r="I4343" s="11">
        <v>400</v>
      </c>
      <c r="J4343" s="11">
        <v>402</v>
      </c>
      <c r="K4343" s="28" t="s">
        <v>486</v>
      </c>
      <c r="L4343" s="28"/>
    </row>
    <row r="4344" spans="1:16" ht="15.75" customHeight="1" x14ac:dyDescent="0.35">
      <c r="A4344" t="s">
        <v>16</v>
      </c>
      <c r="B4344" s="20" t="s">
        <v>242</v>
      </c>
      <c r="C4344" s="30"/>
      <c r="D4344" s="30"/>
      <c r="E4344" s="23" t="s">
        <v>244</v>
      </c>
      <c r="F4344" s="23" t="s">
        <v>245</v>
      </c>
      <c r="G4344" s="23" t="s">
        <v>246</v>
      </c>
      <c r="H4344" s="23" t="s">
        <v>247</v>
      </c>
      <c r="I4344" s="23" t="s">
        <v>259</v>
      </c>
      <c r="J4344" s="23" t="s">
        <v>260</v>
      </c>
      <c r="O4344" s="4"/>
    </row>
    <row r="4345" spans="1:16" ht="1" customHeight="1" x14ac:dyDescent="0.35">
      <c r="B4345" s="24" t="s">
        <v>249</v>
      </c>
      <c r="C4345" s="25"/>
      <c r="D4345" s="25"/>
      <c r="E4345" s="25">
        <v>388</v>
      </c>
      <c r="F4345" s="25">
        <v>393</v>
      </c>
      <c r="G4345" s="25">
        <v>397</v>
      </c>
      <c r="H4345" s="25">
        <v>401</v>
      </c>
      <c r="I4345" s="25"/>
      <c r="K4345" t="s">
        <v>280</v>
      </c>
      <c r="L4345" t="s">
        <v>280</v>
      </c>
      <c r="O4345" t="e">
        <f>(O4343-3*O4342)/O4344</f>
        <v>#DIV/0!</v>
      </c>
    </row>
    <row r="4346" spans="1:16" ht="15.75" customHeight="1" x14ac:dyDescent="0.35">
      <c r="B4346" s="20" t="s">
        <v>250</v>
      </c>
      <c r="C4346" s="26">
        <v>0.21180555555555555</v>
      </c>
      <c r="D4346" s="26">
        <v>0.2951388888888889</v>
      </c>
      <c r="E4346" s="26">
        <v>0.39930555555555558</v>
      </c>
      <c r="F4346" s="26">
        <f>E4346+'Lookup Tables'!$N$1</f>
        <v>0.4201388888888889</v>
      </c>
      <c r="G4346" s="26">
        <f>F4346+'Lookup Tables'!$N$1</f>
        <v>0.44097222222222221</v>
      </c>
      <c r="H4346" s="26">
        <f>G4346+'Lookup Tables'!$N$1</f>
        <v>0.46180555555555552</v>
      </c>
      <c r="I4346" s="26">
        <f>H4346+'Lookup Tables'!$N$1</f>
        <v>0.48263888888888884</v>
      </c>
      <c r="J4346" s="26">
        <f>I4346+'Lookup Tables'!$M$1</f>
        <v>0.49305555555555552</v>
      </c>
      <c r="N4346">
        <f>MAX(F4343:M4343)-O4346</f>
        <v>27</v>
      </c>
      <c r="O4346" t="str">
        <f>RIGHT(E4343,3)</f>
        <v>375</v>
      </c>
    </row>
    <row r="4347" spans="1:16" ht="15.75" customHeight="1" x14ac:dyDescent="0.35">
      <c r="B4347" s="20" t="s">
        <v>251</v>
      </c>
      <c r="C4347" s="27">
        <v>0.2</v>
      </c>
      <c r="D4347" s="27">
        <v>0.5</v>
      </c>
      <c r="E4347" s="27"/>
      <c r="F4347" s="27"/>
      <c r="G4347" s="27" t="s">
        <v>274</v>
      </c>
      <c r="H4347" s="27"/>
      <c r="I4347" s="27"/>
      <c r="J4347" s="27"/>
      <c r="N4347" t="str">
        <f xml:space="preserve">  N4346 &amp; " degrees this time"</f>
        <v>27 degrees this time</v>
      </c>
    </row>
    <row r="4348" spans="1:16" ht="15.75" customHeight="1" x14ac:dyDescent="0.35">
      <c r="B4348" s="20" t="s">
        <v>252</v>
      </c>
      <c r="C4348" s="27">
        <v>0.9</v>
      </c>
      <c r="D4348" s="27">
        <v>0.8</v>
      </c>
      <c r="E4348" s="27">
        <v>0.5</v>
      </c>
      <c r="F4348" s="27">
        <v>0.3</v>
      </c>
      <c r="G4348" s="27" t="s">
        <v>274</v>
      </c>
      <c r="H4348" s="27"/>
      <c r="I4348" s="27"/>
      <c r="J4348" s="27" t="s">
        <v>275</v>
      </c>
    </row>
    <row r="4349" spans="1:16" ht="15.75" customHeight="1" x14ac:dyDescent="0.35">
      <c r="B4349" s="20"/>
      <c r="C4349" s="30"/>
      <c r="D4349" s="11"/>
      <c r="E4349" s="11"/>
      <c r="F4349" s="11"/>
      <c r="H4349" s="2"/>
      <c r="J4349" s="35"/>
      <c r="K4349" s="35"/>
    </row>
    <row r="4350" spans="1:16" ht="15.75" customHeight="1" x14ac:dyDescent="0.35">
      <c r="G4350" s="1" t="s">
        <v>418</v>
      </c>
      <c r="K4350" s="9" t="s">
        <v>524</v>
      </c>
      <c r="L4350" s="9"/>
      <c r="M4350" s="9"/>
    </row>
    <row r="4351" spans="1:16" ht="15.75" customHeight="1" x14ac:dyDescent="0.35">
      <c r="B4351" s="20"/>
      <c r="G4351" s="1"/>
      <c r="H4351" s="1"/>
      <c r="K4351" s="9"/>
      <c r="L4351" s="9"/>
      <c r="M4351" s="9"/>
    </row>
    <row r="4352" spans="1:16" ht="15.75" customHeight="1" x14ac:dyDescent="0.35">
      <c r="B4352" s="20"/>
      <c r="G4352" s="1"/>
      <c r="H4352" s="1"/>
      <c r="K4352" s="32" t="s">
        <v>539</v>
      </c>
      <c r="L4352" s="9"/>
      <c r="M4352" s="9"/>
    </row>
    <row r="4353" spans="1:16" ht="15.75" customHeight="1" x14ac:dyDescent="0.35">
      <c r="B4353" s="9"/>
      <c r="C4353" s="9"/>
      <c r="D4353" s="9"/>
      <c r="E4353" s="9"/>
      <c r="F4353" s="12"/>
      <c r="G4353" s="12"/>
      <c r="H4353" s="12"/>
      <c r="I4353" s="12"/>
      <c r="J4353" s="12"/>
      <c r="K4353" s="12"/>
      <c r="L4353" s="1"/>
    </row>
    <row r="4354" spans="1:16" ht="15.75" customHeight="1" x14ac:dyDescent="0.35">
      <c r="B4354" s="13"/>
      <c r="C4354" s="13"/>
      <c r="D4354" s="15"/>
      <c r="H4354" s="14" t="s">
        <v>255</v>
      </c>
    </row>
    <row r="4355" spans="1:16" x14ac:dyDescent="0.35">
      <c r="B4355" s="13" t="s">
        <v>5</v>
      </c>
      <c r="C4355" s="13" t="s">
        <v>1</v>
      </c>
      <c r="D4355" s="15" t="str">
        <f>VLOOKUP(A4356,Inventory!$A$4:$K$1139,7)</f>
        <v xml:space="preserve">GCBC                               </v>
      </c>
      <c r="F4355" s="13" t="s">
        <v>235</v>
      </c>
      <c r="G4355" s="16"/>
      <c r="L4355" s="17"/>
      <c r="M4355" s="17"/>
    </row>
    <row r="4356" spans="1:16" x14ac:dyDescent="0.35">
      <c r="A4356">
        <v>146</v>
      </c>
      <c r="B4356" s="5">
        <v>43903</v>
      </c>
      <c r="C4356" s="15" t="str">
        <f>VLOOKUP(A4356,Inventory!$A$4:$K$1139,2)</f>
        <v>Ethiopia Hambela Guji Oromia Guracho 2018</v>
      </c>
      <c r="F4356" s="31" t="s">
        <v>291</v>
      </c>
      <c r="G4356" s="2" t="s">
        <v>286</v>
      </c>
      <c r="L4356" s="17"/>
      <c r="M4356" s="17"/>
      <c r="P4356" s="8"/>
    </row>
    <row r="4357" spans="1:16" x14ac:dyDescent="0.35">
      <c r="G4357" s="16"/>
      <c r="L4357" s="19"/>
      <c r="M4357" s="36"/>
    </row>
    <row r="4358" spans="1:16" x14ac:dyDescent="0.35">
      <c r="B4358" s="20"/>
      <c r="C4358" s="11" t="s">
        <v>240</v>
      </c>
      <c r="D4358" s="11" t="s">
        <v>272</v>
      </c>
      <c r="E4358" s="11" t="s">
        <v>425</v>
      </c>
      <c r="F4358" s="11">
        <v>386</v>
      </c>
      <c r="G4358" s="11">
        <v>395</v>
      </c>
      <c r="H4358" s="11">
        <v>404</v>
      </c>
      <c r="I4358" s="11">
        <v>409</v>
      </c>
      <c r="J4358" s="11"/>
      <c r="K4358" s="11"/>
      <c r="L4358" s="28"/>
    </row>
    <row r="4359" spans="1:16" ht="15.75" customHeight="1" x14ac:dyDescent="0.35">
      <c r="B4359" s="20" t="s">
        <v>242</v>
      </c>
      <c r="C4359" s="30"/>
      <c r="D4359" s="30"/>
      <c r="E4359" s="23" t="s">
        <v>244</v>
      </c>
      <c r="F4359" s="23" t="s">
        <v>245</v>
      </c>
      <c r="G4359" s="23" t="s">
        <v>246</v>
      </c>
      <c r="H4359" s="23" t="s">
        <v>247</v>
      </c>
      <c r="I4359" s="23" t="s">
        <v>248</v>
      </c>
      <c r="O4359" s="4"/>
    </row>
    <row r="4360" spans="1:16" ht="1" customHeight="1" x14ac:dyDescent="0.35">
      <c r="B4360" s="24" t="s">
        <v>249</v>
      </c>
      <c r="C4360" s="25"/>
      <c r="D4360" s="25"/>
      <c r="E4360" s="25"/>
      <c r="F4360" s="25"/>
      <c r="G4360" s="25"/>
      <c r="H4360" s="25"/>
      <c r="I4360" s="25"/>
      <c r="O4360" t="e">
        <f>(O4358-3*O4357)/O4359</f>
        <v>#DIV/0!</v>
      </c>
    </row>
    <row r="4361" spans="1:16" ht="15.75" customHeight="1" x14ac:dyDescent="0.35">
      <c r="B4361" s="20" t="s">
        <v>250</v>
      </c>
      <c r="C4361" s="26">
        <v>0.19097222222222221</v>
      </c>
      <c r="D4361" s="26">
        <v>0.28472222222222221</v>
      </c>
      <c r="E4361" s="26">
        <v>0.37847222222222227</v>
      </c>
      <c r="F4361" s="26">
        <f>E4361+'Lookup Tables'!$N$1</f>
        <v>0.39930555555555558</v>
      </c>
      <c r="G4361" s="26">
        <f>F4361+'Lookup Tables'!$N$1</f>
        <v>0.4201388888888889</v>
      </c>
      <c r="H4361" s="26">
        <f>G4361+'Lookup Tables'!$N$1</f>
        <v>0.44097222222222221</v>
      </c>
      <c r="I4361" s="26">
        <f>H4361+'Lookup Tables'!$S$1</f>
        <v>0.4513888888888889</v>
      </c>
      <c r="N4361">
        <f>MAX(F4358:M4358)-O4361</f>
        <v>33</v>
      </c>
      <c r="O4361" t="str">
        <f>RIGHT(E4358,3)</f>
        <v>376</v>
      </c>
    </row>
    <row r="4362" spans="1:16" ht="15.75" customHeight="1" x14ac:dyDescent="0.35">
      <c r="B4362" s="20" t="s">
        <v>251</v>
      </c>
      <c r="C4362" s="27">
        <v>0.2</v>
      </c>
      <c r="D4362" s="27">
        <v>0.5</v>
      </c>
      <c r="E4362" s="27"/>
      <c r="F4362" s="27"/>
      <c r="G4362" s="27"/>
      <c r="H4362" s="25"/>
      <c r="I4362" s="25"/>
      <c r="N4362" t="str">
        <f xml:space="preserve">  N4361 &amp; " degrees this time"</f>
        <v>33 degrees this time</v>
      </c>
    </row>
    <row r="4363" spans="1:16" ht="15.75" customHeight="1" x14ac:dyDescent="0.35">
      <c r="B4363" s="20" t="s">
        <v>252</v>
      </c>
      <c r="C4363" s="27">
        <v>0.9</v>
      </c>
      <c r="D4363" s="27">
        <v>0.8</v>
      </c>
      <c r="E4363" s="27"/>
      <c r="F4363" s="27"/>
      <c r="G4363" s="27"/>
      <c r="H4363" s="27" t="s">
        <v>275</v>
      </c>
      <c r="I4363" s="27" t="s">
        <v>275</v>
      </c>
    </row>
    <row r="4364" spans="1:16" ht="15.75" customHeight="1" x14ac:dyDescent="0.35">
      <c r="B4364" s="20"/>
      <c r="C4364" s="30"/>
      <c r="D4364" s="11"/>
      <c r="E4364" s="1"/>
      <c r="F4364" s="11"/>
      <c r="G4364" s="11"/>
      <c r="H4364" s="11"/>
      <c r="J4364" s="37"/>
    </row>
    <row r="4365" spans="1:16" ht="15.75" customHeight="1" x14ac:dyDescent="0.35">
      <c r="B4365" s="38"/>
      <c r="D4365" s="11"/>
      <c r="E4365" s="11"/>
      <c r="F4365" s="11"/>
      <c r="G4365" s="1" t="s">
        <v>483</v>
      </c>
      <c r="K4365" s="9" t="s">
        <v>506</v>
      </c>
      <c r="L4365" s="9"/>
      <c r="M4365" s="9"/>
    </row>
    <row r="4366" spans="1:16" ht="15.75" customHeight="1" x14ac:dyDescent="0.35">
      <c r="B4366" s="20"/>
      <c r="G4366" s="1"/>
      <c r="H4366" s="1"/>
      <c r="K4366" s="9"/>
      <c r="L4366" s="9"/>
      <c r="M4366" s="9"/>
    </row>
    <row r="4367" spans="1:16" ht="15.75" customHeight="1" x14ac:dyDescent="0.35">
      <c r="B4367" s="20"/>
      <c r="G4367" s="1"/>
      <c r="H4367" s="1"/>
      <c r="K4367" s="9" t="s">
        <v>254</v>
      </c>
      <c r="L4367" s="9"/>
      <c r="M4367" s="9"/>
    </row>
    <row r="4368" spans="1:16" ht="15.75" customHeight="1" x14ac:dyDescent="0.35">
      <c r="B4368" s="9"/>
      <c r="C4368" s="9"/>
      <c r="D4368" s="9"/>
      <c r="E4368" s="9"/>
      <c r="F4368" s="12"/>
      <c r="G4368" s="12"/>
      <c r="H4368" s="12"/>
      <c r="I4368" s="12"/>
      <c r="J4368" s="12"/>
      <c r="K4368" s="12"/>
      <c r="L4368" s="1"/>
    </row>
    <row r="4369" spans="1:16" ht="15.75" customHeight="1" x14ac:dyDescent="0.35">
      <c r="B4369" s="13"/>
      <c r="C4369" s="13"/>
      <c r="D4369" s="13"/>
      <c r="E4369" s="13"/>
      <c r="F4369" s="13"/>
      <c r="G4369" s="13"/>
      <c r="H4369" s="14"/>
      <c r="I4369" s="13"/>
    </row>
    <row r="4370" spans="1:16" x14ac:dyDescent="0.35">
      <c r="B4370" s="13" t="s">
        <v>5</v>
      </c>
      <c r="C4370" s="13" t="s">
        <v>1</v>
      </c>
      <c r="D4370" s="15" t="str">
        <f>VLOOKUP(A4371,Inventory!$A$4:$K$1139,7)</f>
        <v xml:space="preserve">GCBC                               </v>
      </c>
      <c r="F4370" s="13" t="s">
        <v>235</v>
      </c>
      <c r="G4370" s="16"/>
      <c r="J4370" s="8"/>
      <c r="K4370" s="17"/>
      <c r="L4370" s="17"/>
      <c r="M4370" s="17"/>
    </row>
    <row r="4371" spans="1:16" x14ac:dyDescent="0.35">
      <c r="A4371">
        <v>148</v>
      </c>
      <c r="B4371" s="5">
        <v>43903</v>
      </c>
      <c r="C4371" s="15" t="str">
        <f>VLOOKUP(A4371,Inventory!$A$4:$K$1139,2)</f>
        <v>Costa Rica - La Pastora Tarrazu 2018</v>
      </c>
      <c r="F4371" s="34" t="s">
        <v>279</v>
      </c>
      <c r="G4371" s="2" t="s">
        <v>270</v>
      </c>
      <c r="K4371" s="17"/>
      <c r="L4371" s="17"/>
      <c r="M4371" s="17"/>
      <c r="P4371" s="8"/>
    </row>
    <row r="4372" spans="1:16" x14ac:dyDescent="0.35">
      <c r="G4372" s="16"/>
      <c r="J4372" s="19"/>
      <c r="K4372" s="19"/>
      <c r="L4372" s="19"/>
      <c r="M4372" s="19"/>
    </row>
    <row r="4373" spans="1:16" x14ac:dyDescent="0.35">
      <c r="B4373" s="20"/>
      <c r="C4373" s="11" t="s">
        <v>240</v>
      </c>
      <c r="D4373" s="11" t="s">
        <v>272</v>
      </c>
      <c r="E4373" s="11" t="s">
        <v>426</v>
      </c>
      <c r="F4373" s="11">
        <v>377</v>
      </c>
      <c r="G4373" s="11">
        <v>385</v>
      </c>
      <c r="H4373" s="11">
        <v>396</v>
      </c>
      <c r="I4373" s="11">
        <v>399</v>
      </c>
      <c r="J4373" s="11" t="s">
        <v>373</v>
      </c>
      <c r="K4373" s="11"/>
      <c r="L4373" s="28"/>
    </row>
    <row r="4374" spans="1:16" ht="15.75" customHeight="1" x14ac:dyDescent="0.35">
      <c r="B4374" s="20" t="s">
        <v>242</v>
      </c>
      <c r="C4374" s="30"/>
      <c r="D4374" s="30"/>
      <c r="E4374" s="23" t="s">
        <v>244</v>
      </c>
      <c r="F4374" s="23" t="s">
        <v>245</v>
      </c>
      <c r="G4374" s="23" t="s">
        <v>246</v>
      </c>
      <c r="H4374" s="23" t="s">
        <v>247</v>
      </c>
      <c r="I4374" s="23" t="s">
        <v>259</v>
      </c>
      <c r="O4374" s="4"/>
    </row>
    <row r="4375" spans="1:16" ht="1" customHeight="1" x14ac:dyDescent="0.35">
      <c r="B4375" s="24" t="s">
        <v>249</v>
      </c>
      <c r="C4375" s="25"/>
      <c r="D4375" s="25"/>
      <c r="E4375" s="25"/>
      <c r="F4375" s="25"/>
      <c r="G4375" s="25"/>
      <c r="H4375" s="25"/>
      <c r="I4375" s="25"/>
      <c r="O4375" t="e">
        <f>(O4373-3*O4372)/O4374</f>
        <v>#DIV/0!</v>
      </c>
    </row>
    <row r="4376" spans="1:16" ht="15.75" customHeight="1" x14ac:dyDescent="0.35">
      <c r="B4376" s="20" t="s">
        <v>250</v>
      </c>
      <c r="C4376" s="26">
        <v>0.23611111111111113</v>
      </c>
      <c r="D4376" s="26">
        <v>0.3576388888888889</v>
      </c>
      <c r="E4376" s="26">
        <v>0.4236111111111111</v>
      </c>
      <c r="F4376" s="26">
        <f>E4376+'Lookup Tables'!$N$1</f>
        <v>0.44444444444444442</v>
      </c>
      <c r="G4376" s="26">
        <f>F4376+'Lookup Tables'!$N$1</f>
        <v>0.46527777777777773</v>
      </c>
      <c r="H4376" s="26">
        <f>G4376+'Lookup Tables'!$N$1</f>
        <v>0.48611111111111105</v>
      </c>
      <c r="I4376" s="26">
        <f>H4376+'Lookup Tables'!$N$1</f>
        <v>0.50694444444444442</v>
      </c>
      <c r="N4376">
        <f>MAX(F4373:M4373)-O4376</f>
        <v>29</v>
      </c>
      <c r="O4376" t="str">
        <f>RIGHT(E4373,3)</f>
        <v>370</v>
      </c>
    </row>
    <row r="4377" spans="1:16" ht="15.75" customHeight="1" x14ac:dyDescent="0.35">
      <c r="B4377" s="20" t="s">
        <v>251</v>
      </c>
      <c r="C4377" s="27">
        <v>0.2</v>
      </c>
      <c r="D4377" s="27">
        <v>0.5</v>
      </c>
      <c r="E4377" s="25"/>
      <c r="F4377" s="27"/>
      <c r="G4377" s="27"/>
      <c r="H4377" s="25" t="s">
        <v>274</v>
      </c>
      <c r="I4377" s="27"/>
      <c r="N4377" t="str">
        <f xml:space="preserve">  N4376 &amp; " degrees this time"</f>
        <v>29 degrees this time</v>
      </c>
    </row>
    <row r="4378" spans="1:16" ht="15.75" customHeight="1" x14ac:dyDescent="0.35">
      <c r="B4378" s="20" t="s">
        <v>252</v>
      </c>
      <c r="C4378" s="27">
        <v>0.9</v>
      </c>
      <c r="D4378" s="27">
        <v>0.8</v>
      </c>
      <c r="E4378" s="27"/>
      <c r="F4378" s="27"/>
      <c r="G4378" s="27">
        <v>0.6</v>
      </c>
      <c r="H4378" s="25" t="s">
        <v>274</v>
      </c>
      <c r="I4378" s="27" t="s">
        <v>275</v>
      </c>
    </row>
    <row r="4379" spans="1:16" ht="15.75" customHeight="1" x14ac:dyDescent="0.35">
      <c r="B4379" s="20"/>
      <c r="C4379" s="30"/>
      <c r="D4379" s="11"/>
      <c r="E4379" s="11"/>
      <c r="F4379" s="11"/>
      <c r="G4379" s="1"/>
      <c r="H4379" s="1"/>
      <c r="I4379" s="1"/>
    </row>
    <row r="4380" spans="1:16" ht="15.75" customHeight="1" x14ac:dyDescent="0.35">
      <c r="B4380" s="20"/>
      <c r="C4380" s="30"/>
      <c r="D4380" s="11"/>
      <c r="E4380" s="11"/>
      <c r="F4380" s="11"/>
      <c r="G4380" s="1" t="s">
        <v>540</v>
      </c>
      <c r="K4380" s="9" t="s">
        <v>388</v>
      </c>
      <c r="L4380" s="9"/>
      <c r="M4380" s="9"/>
    </row>
    <row r="4381" spans="1:16" ht="15.75" customHeight="1" x14ac:dyDescent="0.35">
      <c r="B4381" s="20"/>
      <c r="G4381" s="1"/>
      <c r="H4381" s="1"/>
      <c r="K4381" s="32" t="s">
        <v>541</v>
      </c>
      <c r="L4381" s="9"/>
      <c r="M4381" s="9"/>
    </row>
    <row r="4382" spans="1:16" ht="15.75" customHeight="1" x14ac:dyDescent="0.35">
      <c r="B4382" s="20"/>
      <c r="G4382" s="1"/>
      <c r="H4382" s="1"/>
      <c r="K4382" s="9" t="s">
        <v>254</v>
      </c>
      <c r="L4382" s="9"/>
      <c r="M4382" s="9"/>
    </row>
    <row r="4383" spans="1:16" ht="15.75" customHeight="1" x14ac:dyDescent="0.35">
      <c r="B4383" s="9"/>
      <c r="C4383" s="9"/>
      <c r="D4383" s="9"/>
      <c r="E4383" s="9"/>
      <c r="F4383" s="12"/>
      <c r="G4383" s="12"/>
      <c r="H4383" s="12"/>
      <c r="I4383" s="12"/>
      <c r="J4383" s="12"/>
      <c r="K4383" s="12"/>
      <c r="L4383" s="1"/>
    </row>
    <row r="4384" spans="1:16" ht="15.75" customHeight="1" x14ac:dyDescent="0.35">
      <c r="B4384" s="13"/>
      <c r="C4384" s="13"/>
      <c r="D4384" s="15"/>
      <c r="F4384" s="33" t="s">
        <v>305</v>
      </c>
      <c r="G4384" s="16"/>
      <c r="H4384" s="14" t="s">
        <v>255</v>
      </c>
      <c r="I4384" s="14"/>
    </row>
    <row r="4385" spans="1:16" x14ac:dyDescent="0.35">
      <c r="B4385" s="13" t="s">
        <v>5</v>
      </c>
      <c r="C4385" s="13" t="s">
        <v>1</v>
      </c>
      <c r="D4385" s="15" t="str">
        <f>VLOOKUP(A4386,Inventory!$A$4:$K$1139,7)</f>
        <v xml:space="preserve">Sweet Marias                       </v>
      </c>
      <c r="F4385" s="13" t="s">
        <v>235</v>
      </c>
      <c r="G4385" s="16"/>
      <c r="L4385" s="17"/>
      <c r="M4385" s="17"/>
    </row>
    <row r="4386" spans="1:16" x14ac:dyDescent="0.35">
      <c r="A4386">
        <v>153</v>
      </c>
      <c r="B4386" s="5">
        <v>43903</v>
      </c>
      <c r="C4386" s="15" t="str">
        <f>VLOOKUP(A4386,Inventory!$A$4:$K$1139,2)</f>
        <v>Yemen Mokha Matari 2019</v>
      </c>
      <c r="F4386" s="31" t="s">
        <v>291</v>
      </c>
      <c r="G4386" s="2" t="s">
        <v>286</v>
      </c>
      <c r="L4386" s="17"/>
      <c r="M4386" s="17"/>
      <c r="P4386" s="8"/>
    </row>
    <row r="4387" spans="1:16" x14ac:dyDescent="0.35">
      <c r="B4387" t="s">
        <v>16</v>
      </c>
      <c r="G4387" s="16"/>
      <c r="L4387" s="19"/>
      <c r="M4387" s="19"/>
    </row>
    <row r="4388" spans="1:16" x14ac:dyDescent="0.35">
      <c r="B4388" s="20"/>
      <c r="C4388" s="11" t="s">
        <v>240</v>
      </c>
      <c r="D4388" s="11" t="s">
        <v>272</v>
      </c>
      <c r="E4388" s="11" t="s">
        <v>528</v>
      </c>
      <c r="F4388" s="11">
        <v>386</v>
      </c>
      <c r="G4388" s="11">
        <v>393</v>
      </c>
      <c r="H4388" s="11">
        <v>397</v>
      </c>
      <c r="I4388" s="11">
        <v>401</v>
      </c>
      <c r="J4388" s="11"/>
      <c r="K4388" s="11"/>
      <c r="L4388" s="28"/>
    </row>
    <row r="4389" spans="1:16" ht="15.75" customHeight="1" x14ac:dyDescent="0.35">
      <c r="B4389" s="20" t="s">
        <v>242</v>
      </c>
      <c r="C4389" s="21"/>
      <c r="D4389" s="22" t="s">
        <v>294</v>
      </c>
      <c r="E4389" s="23" t="s">
        <v>244</v>
      </c>
      <c r="F4389" s="23" t="s">
        <v>245</v>
      </c>
      <c r="G4389" s="23" t="s">
        <v>246</v>
      </c>
      <c r="H4389" s="23" t="s">
        <v>273</v>
      </c>
      <c r="I4389" s="23" t="s">
        <v>247</v>
      </c>
      <c r="O4389" s="4"/>
    </row>
    <row r="4390" spans="1:16" ht="1" customHeight="1" x14ac:dyDescent="0.35">
      <c r="B4390" s="24" t="s">
        <v>249</v>
      </c>
      <c r="C4390" s="25">
        <v>320</v>
      </c>
      <c r="D4390" s="25">
        <v>350</v>
      </c>
      <c r="E4390" s="25"/>
      <c r="F4390" s="25"/>
      <c r="G4390" s="25"/>
      <c r="H4390" s="23" t="s">
        <v>247</v>
      </c>
      <c r="I4390" s="25"/>
      <c r="O4390" t="e">
        <f>(O4388-3*O4387)/O4389</f>
        <v>#DIV/0!</v>
      </c>
    </row>
    <row r="4391" spans="1:16" ht="15.75" customHeight="1" x14ac:dyDescent="0.35">
      <c r="B4391" s="20" t="s">
        <v>250</v>
      </c>
      <c r="C4391" s="26">
        <v>0.19097222222222221</v>
      </c>
      <c r="D4391" s="26">
        <v>0.28125</v>
      </c>
      <c r="E4391" s="26">
        <v>0.3888888888888889</v>
      </c>
      <c r="F4391" s="26">
        <f>E4391+'Lookup Tables'!$N$1</f>
        <v>0.40972222222222221</v>
      </c>
      <c r="G4391" s="26">
        <f>F4391+'Lookup Tables'!$N$1</f>
        <v>0.43055555555555552</v>
      </c>
      <c r="H4391" s="26">
        <f>G4391+'Lookup Tables'!$S$1</f>
        <v>0.44097222222222221</v>
      </c>
      <c r="I4391" s="26">
        <f>H4391+'Lookup Tables'!$S$1</f>
        <v>0.4513888888888889</v>
      </c>
      <c r="J4391" s="11"/>
      <c r="K4391" s="11"/>
      <c r="N4391">
        <f>MAX(F4388:M4388)-O4391</f>
        <v>22</v>
      </c>
      <c r="O4391" t="str">
        <f>RIGHT(E4388,3)</f>
        <v>379</v>
      </c>
    </row>
    <row r="4392" spans="1:16" ht="15.75" customHeight="1" x14ac:dyDescent="0.35">
      <c r="B4392" s="20" t="s">
        <v>251</v>
      </c>
      <c r="C4392" s="27">
        <v>0.2</v>
      </c>
      <c r="D4392" s="27">
        <v>0.5</v>
      </c>
      <c r="E4392" s="27"/>
      <c r="F4392" s="27"/>
      <c r="G4392" s="27">
        <v>0.25</v>
      </c>
      <c r="H4392" s="27"/>
      <c r="I4392" s="27"/>
      <c r="N4392" t="str">
        <f xml:space="preserve">  N4391 &amp; " degrees this time"</f>
        <v>22 degrees this time</v>
      </c>
    </row>
    <row r="4393" spans="1:16" ht="15.75" customHeight="1" x14ac:dyDescent="0.35">
      <c r="B4393" s="20" t="s">
        <v>252</v>
      </c>
      <c r="C4393" s="27">
        <v>0.9</v>
      </c>
      <c r="D4393" s="27">
        <v>0.7</v>
      </c>
      <c r="E4393" s="27">
        <v>0.6</v>
      </c>
      <c r="F4393" s="27"/>
      <c r="G4393" s="27"/>
      <c r="H4393" s="27"/>
      <c r="I4393" s="27" t="s">
        <v>275</v>
      </c>
    </row>
    <row r="4394" spans="1:16" ht="15.75" customHeight="1" x14ac:dyDescent="0.35">
      <c r="B4394" s="20"/>
      <c r="D4394" s="11"/>
      <c r="E4394" s="40"/>
      <c r="F4394" s="11"/>
      <c r="G4394" s="11"/>
      <c r="K4394" s="9" t="s">
        <v>516</v>
      </c>
      <c r="L4394" s="9"/>
      <c r="M4394" s="9"/>
    </row>
    <row r="4395" spans="1:16" ht="15.75" customHeight="1" x14ac:dyDescent="0.35">
      <c r="B4395" s="38"/>
      <c r="D4395" s="15"/>
      <c r="F4395" s="13"/>
      <c r="G4395" s="1" t="s">
        <v>296</v>
      </c>
      <c r="K4395" s="32"/>
      <c r="L4395" s="9"/>
      <c r="M4395" s="9"/>
    </row>
    <row r="4396" spans="1:16" ht="15.75" customHeight="1" x14ac:dyDescent="0.35">
      <c r="B4396" s="20"/>
      <c r="G4396" s="1"/>
      <c r="H4396" s="1"/>
      <c r="K4396" s="9"/>
      <c r="L4396" s="9"/>
      <c r="M4396" s="9"/>
    </row>
    <row r="4397" spans="1:16" ht="15.75" customHeight="1" x14ac:dyDescent="0.35">
      <c r="B4397" s="20"/>
      <c r="G4397" s="1"/>
      <c r="H4397" s="1"/>
      <c r="K4397" s="9" t="s">
        <v>297</v>
      </c>
      <c r="L4397" s="9"/>
      <c r="M4397" s="9"/>
    </row>
    <row r="4398" spans="1:16" ht="15.75" customHeight="1" x14ac:dyDescent="0.35">
      <c r="B4398" s="9"/>
      <c r="C4398" s="9"/>
      <c r="D4398" s="9"/>
      <c r="E4398" s="9"/>
      <c r="F4398" s="12"/>
      <c r="G4398" s="12"/>
      <c r="H4398" s="12"/>
      <c r="I4398" s="12"/>
      <c r="J4398" s="12"/>
      <c r="K4398" s="12"/>
      <c r="L4398" s="1"/>
    </row>
    <row r="4399" spans="1:16" ht="15.75" customHeight="1" x14ac:dyDescent="0.35">
      <c r="B4399" s="13"/>
      <c r="C4399" s="13"/>
      <c r="D4399" s="15"/>
      <c r="F4399" s="33" t="s">
        <v>305</v>
      </c>
      <c r="G4399" s="16"/>
      <c r="I4399" s="14"/>
    </row>
    <row r="4400" spans="1:16" x14ac:dyDescent="0.35">
      <c r="B4400" s="13" t="s">
        <v>5</v>
      </c>
      <c r="C4400" s="13" t="s">
        <v>1</v>
      </c>
      <c r="D4400" s="15" t="str">
        <f>VLOOKUP(A4401,Inventory!$A$4:$K$1139,7)</f>
        <v>Coffee Bean corral</v>
      </c>
      <c r="F4400" s="13" t="s">
        <v>235</v>
      </c>
      <c r="G4400" s="16"/>
      <c r="L4400" s="17"/>
      <c r="M4400" s="17"/>
    </row>
    <row r="4401" spans="1:16" x14ac:dyDescent="0.35">
      <c r="A4401">
        <v>151</v>
      </c>
      <c r="B4401" s="5">
        <v>43903</v>
      </c>
      <c r="C4401" s="15" t="str">
        <f>VLOOKUP(A4401,Inventory!$A$4:$K$1139,2)</f>
        <v>Yemen Mocca Ismaili Natural 2018</v>
      </c>
      <c r="F4401" s="34" t="s">
        <v>279</v>
      </c>
      <c r="G4401" s="2" t="s">
        <v>286</v>
      </c>
      <c r="L4401" s="17"/>
      <c r="M4401" s="17"/>
      <c r="P4401" s="8"/>
    </row>
    <row r="4402" spans="1:16" x14ac:dyDescent="0.35">
      <c r="B4402" t="s">
        <v>16</v>
      </c>
      <c r="G4402" s="16"/>
      <c r="L4402" s="19"/>
      <c r="M4402" s="19"/>
    </row>
    <row r="4403" spans="1:16" x14ac:dyDescent="0.35">
      <c r="B4403" s="20"/>
      <c r="C4403" s="11" t="s">
        <v>240</v>
      </c>
      <c r="D4403" s="11" t="s">
        <v>272</v>
      </c>
      <c r="E4403" s="11" t="s">
        <v>462</v>
      </c>
      <c r="F4403" s="11">
        <v>386</v>
      </c>
      <c r="G4403" s="11">
        <v>396</v>
      </c>
      <c r="H4403" s="11">
        <v>400</v>
      </c>
      <c r="I4403" s="11"/>
      <c r="J4403" s="11"/>
      <c r="K4403" s="11"/>
      <c r="L4403" s="28"/>
    </row>
    <row r="4404" spans="1:16" ht="15.75" customHeight="1" x14ac:dyDescent="0.35">
      <c r="B4404" s="20" t="s">
        <v>242</v>
      </c>
      <c r="C4404" s="21"/>
      <c r="D4404" s="22" t="s">
        <v>294</v>
      </c>
      <c r="E4404" s="23" t="s">
        <v>244</v>
      </c>
      <c r="F4404" s="23" t="s">
        <v>245</v>
      </c>
      <c r="G4404" s="23" t="s">
        <v>246</v>
      </c>
      <c r="H4404" s="23" t="s">
        <v>273</v>
      </c>
      <c r="I4404" s="23" t="s">
        <v>247</v>
      </c>
      <c r="O4404" s="4"/>
    </row>
    <row r="4405" spans="1:16" ht="1" customHeight="1" x14ac:dyDescent="0.35">
      <c r="B4405" s="24" t="s">
        <v>249</v>
      </c>
      <c r="C4405" s="25">
        <v>320</v>
      </c>
      <c r="D4405" s="25">
        <v>350</v>
      </c>
      <c r="E4405" s="25"/>
      <c r="F4405" s="25"/>
      <c r="G4405" s="25"/>
      <c r="H4405" s="23" t="s">
        <v>247</v>
      </c>
      <c r="I4405" s="25"/>
      <c r="O4405" t="e">
        <f>(O4403-3*O4402)/O4404</f>
        <v>#DIV/0!</v>
      </c>
    </row>
    <row r="4406" spans="1:16" ht="15.75" customHeight="1" x14ac:dyDescent="0.35">
      <c r="B4406" s="20" t="s">
        <v>250</v>
      </c>
      <c r="C4406" s="26">
        <v>0.22569444444444445</v>
      </c>
      <c r="D4406" s="26">
        <v>0.30902777777777779</v>
      </c>
      <c r="E4406" s="26">
        <v>0.40277777777777773</v>
      </c>
      <c r="F4406" s="26">
        <f>E4406+'Lookup Tables'!$N$1</f>
        <v>0.42361111111111105</v>
      </c>
      <c r="G4406" s="26">
        <f>F4406+'Lookup Tables'!$N$1</f>
        <v>0.44444444444444436</v>
      </c>
      <c r="H4406" s="26">
        <f>G4406+'Lookup Tables'!$S$1</f>
        <v>0.45486111111111105</v>
      </c>
      <c r="I4406" s="26">
        <f>H4406+'Lookup Tables'!$S$1</f>
        <v>0.46527777777777773</v>
      </c>
      <c r="J4406" s="11"/>
      <c r="K4406" s="11"/>
      <c r="N4406">
        <f>MAX(F4403:M4403)-O4406</f>
        <v>23</v>
      </c>
      <c r="O4406" t="str">
        <f>RIGHT(E4403,3)</f>
        <v>377</v>
      </c>
    </row>
    <row r="4407" spans="1:16" ht="15.75" customHeight="1" x14ac:dyDescent="0.35">
      <c r="B4407" s="20" t="s">
        <v>251</v>
      </c>
      <c r="C4407" s="27">
        <v>0.2</v>
      </c>
      <c r="D4407" s="27">
        <v>0.5</v>
      </c>
      <c r="E4407" s="27"/>
      <c r="F4407" s="27"/>
      <c r="G4407" s="27">
        <v>0.25</v>
      </c>
      <c r="H4407" s="27"/>
      <c r="I4407" s="27"/>
      <c r="N4407" t="str">
        <f xml:space="preserve">  N4406 &amp; " degrees this time"</f>
        <v>23 degrees this time</v>
      </c>
    </row>
    <row r="4408" spans="1:16" ht="15.75" customHeight="1" x14ac:dyDescent="0.35">
      <c r="B4408" s="20" t="s">
        <v>252</v>
      </c>
      <c r="C4408" s="27">
        <v>0.9</v>
      </c>
      <c r="D4408" s="27">
        <v>0.7</v>
      </c>
      <c r="E4408" s="27">
        <v>0.6</v>
      </c>
      <c r="F4408" s="27">
        <v>0.5</v>
      </c>
      <c r="G4408" s="27"/>
      <c r="H4408" s="27"/>
      <c r="I4408" s="27" t="s">
        <v>275</v>
      </c>
    </row>
    <row r="4409" spans="1:16" ht="15.75" customHeight="1" x14ac:dyDescent="0.35">
      <c r="B4409" s="20"/>
      <c r="D4409" s="11"/>
      <c r="E4409" s="40"/>
      <c r="F4409" s="11"/>
      <c r="G4409" s="11"/>
      <c r="K4409" s="9" t="s">
        <v>542</v>
      </c>
      <c r="L4409" s="9"/>
      <c r="M4409" s="9"/>
    </row>
    <row r="4410" spans="1:16" ht="15.75" customHeight="1" x14ac:dyDescent="0.35">
      <c r="B4410" s="38"/>
      <c r="D4410" s="15"/>
      <c r="F4410" s="13"/>
      <c r="G4410" s="1" t="s">
        <v>296</v>
      </c>
      <c r="K4410" s="32" t="s">
        <v>543</v>
      </c>
      <c r="L4410" s="9"/>
      <c r="M4410" s="9"/>
    </row>
    <row r="4411" spans="1:16" ht="15.75" customHeight="1" x14ac:dyDescent="0.35">
      <c r="B4411" s="20"/>
      <c r="G4411" s="1"/>
      <c r="H4411" s="1"/>
      <c r="K4411" s="9"/>
      <c r="L4411" s="9"/>
      <c r="M4411" s="9"/>
    </row>
    <row r="4412" spans="1:16" ht="15.75" customHeight="1" x14ac:dyDescent="0.35">
      <c r="B4412" s="20"/>
      <c r="G4412" s="1"/>
      <c r="H4412" s="1"/>
      <c r="K4412" s="9" t="s">
        <v>297</v>
      </c>
      <c r="L4412" s="9"/>
      <c r="M4412" s="9"/>
    </row>
    <row r="4413" spans="1:16" ht="15.75" customHeight="1" x14ac:dyDescent="0.35">
      <c r="B4413" s="9"/>
      <c r="C4413" s="9"/>
      <c r="D4413" s="9"/>
      <c r="E4413" s="9"/>
      <c r="F4413" s="12"/>
      <c r="G4413" s="12"/>
      <c r="H4413" s="12"/>
      <c r="I4413" s="12"/>
      <c r="J4413" s="12"/>
      <c r="K4413" s="12"/>
      <c r="L4413" s="1"/>
    </row>
    <row r="4414" spans="1:16" ht="15.75" customHeight="1" x14ac:dyDescent="0.35">
      <c r="B4414" s="13"/>
      <c r="C4414" s="13"/>
      <c r="D4414" s="15"/>
      <c r="F4414" s="33" t="s">
        <v>443</v>
      </c>
    </row>
    <row r="4415" spans="1:16" x14ac:dyDescent="0.35">
      <c r="B4415" s="13" t="s">
        <v>5</v>
      </c>
      <c r="C4415" s="13" t="s">
        <v>1</v>
      </c>
      <c r="D4415" s="15" t="str">
        <f>VLOOKUP(A4416,Inventory!$A$4:$K$1139,7)</f>
        <v xml:space="preserve">Roastmasters                       </v>
      </c>
      <c r="F4415" s="13" t="s">
        <v>235</v>
      </c>
      <c r="G4415" s="16"/>
      <c r="L4415" s="17"/>
      <c r="M4415" s="17"/>
    </row>
    <row r="4416" spans="1:16" x14ac:dyDescent="0.35">
      <c r="A4416">
        <v>150</v>
      </c>
      <c r="B4416" s="5">
        <v>43895</v>
      </c>
      <c r="C4416" s="15" t="str">
        <f>VLOOKUP(A4416,Inventory!$A$4:$K$1139,2)</f>
        <v>Ethiopia Yirgacheffe Reko 2018</v>
      </c>
      <c r="F4416" s="34" t="s">
        <v>279</v>
      </c>
      <c r="G4416" s="2" t="s">
        <v>286</v>
      </c>
      <c r="L4416" s="17"/>
      <c r="M4416" s="17"/>
      <c r="P4416" s="8"/>
    </row>
    <row r="4417" spans="1:16" x14ac:dyDescent="0.35">
      <c r="G4417" s="16"/>
      <c r="L4417" s="19"/>
      <c r="M4417" s="19"/>
    </row>
    <row r="4418" spans="1:16" x14ac:dyDescent="0.35">
      <c r="B4418" s="20"/>
      <c r="C4418" s="11" t="s">
        <v>240</v>
      </c>
      <c r="D4418" s="11" t="s">
        <v>241</v>
      </c>
      <c r="E4418" s="11" t="s">
        <v>427</v>
      </c>
      <c r="F4418" s="11">
        <v>372</v>
      </c>
      <c r="G4418" s="11">
        <v>378</v>
      </c>
      <c r="H4418" s="11">
        <v>386</v>
      </c>
      <c r="I4418" s="11">
        <v>394</v>
      </c>
      <c r="J4418" s="11"/>
      <c r="K4418" s="11"/>
      <c r="L4418" s="28"/>
    </row>
    <row r="4419" spans="1:16" ht="15.75" customHeight="1" x14ac:dyDescent="0.35">
      <c r="B4419" s="20" t="s">
        <v>242</v>
      </c>
      <c r="C4419" s="30"/>
      <c r="D4419" s="30"/>
      <c r="E4419" s="23" t="s">
        <v>244</v>
      </c>
      <c r="F4419" s="23" t="s">
        <v>245</v>
      </c>
      <c r="G4419" s="23" t="s">
        <v>246</v>
      </c>
      <c r="H4419" s="23" t="s">
        <v>247</v>
      </c>
      <c r="I4419" s="23" t="s">
        <v>259</v>
      </c>
      <c r="J4419" s="23" t="s">
        <v>260</v>
      </c>
      <c r="O4419" s="4"/>
    </row>
    <row r="4420" spans="1:16" ht="1" customHeight="1" x14ac:dyDescent="0.35">
      <c r="B4420" s="24" t="s">
        <v>249</v>
      </c>
      <c r="C4420" s="25"/>
      <c r="D4420" s="25"/>
      <c r="E4420" s="25"/>
      <c r="F4420" s="25"/>
      <c r="G4420" s="25"/>
      <c r="H4420" s="25"/>
      <c r="I4420" s="25"/>
      <c r="J4420" s="25">
        <v>415</v>
      </c>
      <c r="O4420" t="e">
        <f>(O4418-3*O4417)/O4419</f>
        <v>#DIV/0!</v>
      </c>
    </row>
    <row r="4421" spans="1:16" ht="15.75" customHeight="1" x14ac:dyDescent="0.35">
      <c r="B4421" s="20" t="s">
        <v>250</v>
      </c>
      <c r="C4421" s="26">
        <v>0.21875</v>
      </c>
      <c r="D4421" s="26">
        <v>0.30208333333333331</v>
      </c>
      <c r="E4421" s="26">
        <v>0.37847222222222227</v>
      </c>
      <c r="F4421" s="26">
        <f>E4421+'Lookup Tables'!$N$1</f>
        <v>0.39930555555555558</v>
      </c>
      <c r="G4421" s="26">
        <f>F4421+'Lookup Tables'!$N$1</f>
        <v>0.4201388888888889</v>
      </c>
      <c r="H4421" s="26">
        <f>G4421+'Lookup Tables'!$N$1</f>
        <v>0.44097222222222221</v>
      </c>
      <c r="I4421" s="26">
        <f>H4421+'Lookup Tables'!$N$1</f>
        <v>0.46180555555555552</v>
      </c>
      <c r="J4421" s="26">
        <f>I4421+'Lookup Tables'!$M$1</f>
        <v>0.47222222222222221</v>
      </c>
      <c r="N4421">
        <f>MAX(F4418:M4418)-O4421</f>
        <v>28</v>
      </c>
      <c r="O4421" t="str">
        <f>RIGHT(E4418,3)</f>
        <v>366</v>
      </c>
    </row>
    <row r="4422" spans="1:16" ht="15.75" customHeight="1" x14ac:dyDescent="0.35">
      <c r="B4422" s="20" t="s">
        <v>251</v>
      </c>
      <c r="C4422" s="27">
        <v>0.2</v>
      </c>
      <c r="D4422" s="27">
        <v>0.5</v>
      </c>
      <c r="E4422" s="27"/>
      <c r="F4422" s="27"/>
      <c r="G4422" s="27"/>
      <c r="H4422" s="25"/>
      <c r="I4422" s="27"/>
      <c r="J4422" s="27"/>
      <c r="N4422" t="str">
        <f xml:space="preserve">  N4421 &amp; " degrees this time"</f>
        <v>28 degrees this time</v>
      </c>
    </row>
    <row r="4423" spans="1:16" ht="15.75" customHeight="1" x14ac:dyDescent="0.35">
      <c r="B4423" s="20" t="s">
        <v>252</v>
      </c>
      <c r="C4423" s="27">
        <v>0.9</v>
      </c>
      <c r="D4423" s="27">
        <v>0.8</v>
      </c>
      <c r="E4423" s="27"/>
      <c r="F4423" s="27"/>
      <c r="G4423" s="27">
        <v>0.3</v>
      </c>
      <c r="H4423" s="27"/>
      <c r="I4423" s="27" t="s">
        <v>275</v>
      </c>
      <c r="J4423" s="27" t="s">
        <v>275</v>
      </c>
    </row>
    <row r="4424" spans="1:16" ht="15.75" customHeight="1" x14ac:dyDescent="0.35">
      <c r="B4424" s="20"/>
      <c r="C4424" s="30"/>
      <c r="D4424" s="11"/>
      <c r="E4424" s="1"/>
      <c r="F4424" s="11"/>
      <c r="G4424" s="11"/>
      <c r="H4424" s="11"/>
      <c r="J4424" s="37"/>
    </row>
    <row r="4425" spans="1:16" ht="15.75" customHeight="1" x14ac:dyDescent="0.35">
      <c r="B4425" s="38"/>
      <c r="D4425" s="11"/>
      <c r="E4425" s="11"/>
      <c r="F4425" s="11"/>
      <c r="G4425" s="1" t="s">
        <v>292</v>
      </c>
      <c r="K4425" s="9" t="s">
        <v>431</v>
      </c>
      <c r="L4425" s="9"/>
      <c r="M4425" s="9"/>
    </row>
    <row r="4426" spans="1:16" ht="15.75" customHeight="1" x14ac:dyDescent="0.35">
      <c r="B4426" s="20"/>
      <c r="G4426" s="1"/>
      <c r="H4426" s="1"/>
      <c r="K4426" s="9" t="s">
        <v>544</v>
      </c>
      <c r="L4426" s="9"/>
      <c r="M4426" s="9"/>
    </row>
    <row r="4427" spans="1:16" ht="15.75" customHeight="1" x14ac:dyDescent="0.35">
      <c r="B4427" s="20"/>
      <c r="G4427" s="1"/>
      <c r="H4427" s="1"/>
      <c r="K4427" s="9" t="s">
        <v>254</v>
      </c>
      <c r="L4427" s="9"/>
      <c r="M4427" s="9"/>
    </row>
    <row r="4428" spans="1:16" ht="15.75" customHeight="1" x14ac:dyDescent="0.35">
      <c r="B4428" s="9"/>
      <c r="C4428" s="9"/>
      <c r="D4428" s="9"/>
      <c r="E4428" s="9"/>
      <c r="F4428" s="12"/>
      <c r="G4428" s="12"/>
      <c r="H4428" s="12"/>
      <c r="I4428" s="12"/>
      <c r="J4428" s="12"/>
      <c r="K4428" s="12"/>
      <c r="L4428" s="1"/>
    </row>
    <row r="4429" spans="1:16" ht="15.75" customHeight="1" x14ac:dyDescent="0.35">
      <c r="B4429" s="13"/>
      <c r="C4429" s="13"/>
      <c r="D4429" s="15"/>
      <c r="G4429" s="16"/>
      <c r="H4429" s="14" t="s">
        <v>255</v>
      </c>
      <c r="I4429" s="14"/>
    </row>
    <row r="4430" spans="1:16" x14ac:dyDescent="0.35">
      <c r="B4430" s="13" t="s">
        <v>5</v>
      </c>
      <c r="C4430" s="13" t="s">
        <v>1</v>
      </c>
      <c r="D4430" s="15" t="str">
        <f>VLOOKUP(A4431,Inventory!$A$4:$K$1139,7)</f>
        <v>Royal coffee</v>
      </c>
      <c r="F4430" s="13" t="s">
        <v>235</v>
      </c>
      <c r="G4430" s="16"/>
      <c r="L4430" s="17"/>
      <c r="M4430" s="17"/>
    </row>
    <row r="4431" spans="1:16" x14ac:dyDescent="0.35">
      <c r="A4431">
        <v>141</v>
      </c>
      <c r="B4431" s="5">
        <v>43895</v>
      </c>
      <c r="C4431" s="15" t="str">
        <f>VLOOKUP(A4431,Inventory!$A$4:$K$1139,2)</f>
        <v>Yemen Al-Haymah Rooftop Raised Bed Natural 2017</v>
      </c>
      <c r="F4431" s="31" t="s">
        <v>291</v>
      </c>
      <c r="G4431" s="2" t="s">
        <v>286</v>
      </c>
      <c r="L4431" s="17"/>
      <c r="M4431" s="17"/>
      <c r="P4431" s="8"/>
    </row>
    <row r="4432" spans="1:16" x14ac:dyDescent="0.35">
      <c r="B4432" t="s">
        <v>16</v>
      </c>
      <c r="G4432" s="16"/>
      <c r="L4432" s="19"/>
      <c r="M4432" s="19"/>
    </row>
    <row r="4433" spans="1:16" x14ac:dyDescent="0.35">
      <c r="B4433" s="20"/>
      <c r="C4433" s="11" t="s">
        <v>240</v>
      </c>
      <c r="D4433" s="11" t="s">
        <v>272</v>
      </c>
      <c r="E4433" s="11" t="s">
        <v>528</v>
      </c>
      <c r="F4433" s="11">
        <v>385</v>
      </c>
      <c r="G4433" s="11">
        <v>391</v>
      </c>
      <c r="H4433" s="11">
        <v>396</v>
      </c>
      <c r="I4433" s="11">
        <v>401</v>
      </c>
      <c r="J4433" s="11"/>
      <c r="K4433" s="11"/>
      <c r="L4433" s="28"/>
    </row>
    <row r="4434" spans="1:16" ht="15.75" customHeight="1" x14ac:dyDescent="0.35">
      <c r="B4434" s="20" t="s">
        <v>242</v>
      </c>
      <c r="C4434" s="21"/>
      <c r="D4434" s="22" t="s">
        <v>294</v>
      </c>
      <c r="E4434" s="23" t="s">
        <v>244</v>
      </c>
      <c r="F4434" s="23" t="s">
        <v>245</v>
      </c>
      <c r="G4434" s="23" t="s">
        <v>246</v>
      </c>
      <c r="H4434" s="23" t="s">
        <v>273</v>
      </c>
      <c r="I4434" s="23" t="s">
        <v>247</v>
      </c>
      <c r="O4434" s="4"/>
    </row>
    <row r="4435" spans="1:16" ht="1" customHeight="1" x14ac:dyDescent="0.35">
      <c r="B4435" s="24" t="s">
        <v>249</v>
      </c>
      <c r="C4435" s="25">
        <v>320</v>
      </c>
      <c r="D4435" s="25">
        <v>350</v>
      </c>
      <c r="E4435" s="25"/>
      <c r="F4435" s="25"/>
      <c r="G4435" s="25"/>
      <c r="H4435" s="23" t="s">
        <v>247</v>
      </c>
      <c r="I4435" s="25"/>
      <c r="O4435" t="e">
        <f>(O4433-3*O4432)/O4434</f>
        <v>#DIV/0!</v>
      </c>
    </row>
    <row r="4436" spans="1:16" ht="15.75" customHeight="1" x14ac:dyDescent="0.35">
      <c r="B4436" s="20" t="s">
        <v>250</v>
      </c>
      <c r="C4436" s="26">
        <v>0.20486111111111113</v>
      </c>
      <c r="D4436" s="26">
        <v>0.2986111111111111</v>
      </c>
      <c r="E4436" s="26">
        <v>0.39930555555555558</v>
      </c>
      <c r="F4436" s="26">
        <f>E4436+'Lookup Tables'!$N$1</f>
        <v>0.4201388888888889</v>
      </c>
      <c r="G4436" s="26">
        <f>F4436+'Lookup Tables'!$N$1</f>
        <v>0.44097222222222221</v>
      </c>
      <c r="H4436" s="26">
        <f>G4436+'Lookup Tables'!$S$1</f>
        <v>0.4513888888888889</v>
      </c>
      <c r="I4436" s="26">
        <f>H4436+'Lookup Tables'!$S$1</f>
        <v>0.46180555555555558</v>
      </c>
      <c r="N4436">
        <f>MAX(F4433:M4433)-O4436</f>
        <v>22</v>
      </c>
      <c r="O4436" t="str">
        <f>RIGHT(E4433,3)</f>
        <v>379</v>
      </c>
    </row>
    <row r="4437" spans="1:16" ht="15.75" customHeight="1" x14ac:dyDescent="0.35">
      <c r="B4437" s="20" t="s">
        <v>251</v>
      </c>
      <c r="C4437" s="27">
        <v>0.2</v>
      </c>
      <c r="D4437" s="27">
        <v>0.5</v>
      </c>
      <c r="E4437" s="27"/>
      <c r="F4437" s="27"/>
      <c r="G4437" s="27">
        <v>0.25</v>
      </c>
      <c r="H4437" s="27"/>
      <c r="I4437" s="27"/>
      <c r="N4437" t="str">
        <f xml:space="preserve">  N4436 &amp; " degrees this time"</f>
        <v>22 degrees this time</v>
      </c>
    </row>
    <row r="4438" spans="1:16" ht="15.75" customHeight="1" x14ac:dyDescent="0.35">
      <c r="B4438" s="20" t="s">
        <v>252</v>
      </c>
      <c r="C4438" s="27">
        <v>0.9</v>
      </c>
      <c r="D4438" s="27">
        <v>0.7</v>
      </c>
      <c r="E4438" s="27">
        <v>0.6</v>
      </c>
      <c r="F4438" s="27"/>
      <c r="G4438" s="27"/>
      <c r="H4438" s="27"/>
      <c r="I4438" s="27" t="s">
        <v>275</v>
      </c>
    </row>
    <row r="4439" spans="1:16" ht="15.75" customHeight="1" x14ac:dyDescent="0.35">
      <c r="B4439" s="20"/>
      <c r="D4439" s="11"/>
      <c r="E4439" s="40"/>
      <c r="F4439" s="11"/>
      <c r="G4439" s="11"/>
      <c r="K4439" s="9" t="s">
        <v>377</v>
      </c>
      <c r="L4439" s="9"/>
    </row>
    <row r="4440" spans="1:16" ht="15.75" customHeight="1" x14ac:dyDescent="0.35">
      <c r="B4440" s="38"/>
      <c r="D4440" s="15"/>
      <c r="F4440" s="13"/>
      <c r="G4440" s="1" t="s">
        <v>296</v>
      </c>
      <c r="K4440" s="32"/>
      <c r="L4440" s="9"/>
      <c r="M4440" s="9"/>
    </row>
    <row r="4441" spans="1:16" ht="15.75" customHeight="1" x14ac:dyDescent="0.35">
      <c r="B4441" s="20"/>
      <c r="G4441" s="1"/>
      <c r="H4441" s="1"/>
      <c r="K4441" s="9"/>
      <c r="L4441" s="9"/>
      <c r="M4441" s="9"/>
    </row>
    <row r="4442" spans="1:16" ht="15.75" customHeight="1" x14ac:dyDescent="0.35">
      <c r="B4442" s="20"/>
      <c r="G4442" s="1"/>
      <c r="H4442" s="1"/>
      <c r="K4442" s="9" t="s">
        <v>297</v>
      </c>
      <c r="L4442" s="9"/>
      <c r="M4442" s="9"/>
    </row>
    <row r="4443" spans="1:16" ht="15.75" customHeight="1" x14ac:dyDescent="0.35">
      <c r="B4443" s="9"/>
      <c r="C4443" s="9"/>
      <c r="D4443" s="9"/>
      <c r="E4443" s="9"/>
      <c r="F4443" s="12"/>
      <c r="G4443" s="12"/>
      <c r="H4443" s="12"/>
      <c r="I4443" s="12"/>
      <c r="J4443" s="12"/>
      <c r="K4443" s="12"/>
      <c r="L4443" s="1"/>
    </row>
    <row r="4444" spans="1:16" ht="15.75" customHeight="1" x14ac:dyDescent="0.35">
      <c r="B4444" s="13"/>
      <c r="C4444" s="13"/>
      <c r="D4444" s="15"/>
      <c r="H4444" s="14" t="s">
        <v>255</v>
      </c>
    </row>
    <row r="4445" spans="1:16" x14ac:dyDescent="0.35">
      <c r="B4445" s="13" t="s">
        <v>5</v>
      </c>
      <c r="C4445" s="13" t="s">
        <v>1</v>
      </c>
      <c r="D4445" s="15" t="str">
        <f>VLOOKUP(A4446,Inventory!$A$4:$K$1139,7)</f>
        <v>Leverhead Coffee</v>
      </c>
      <c r="F4445" s="13" t="s">
        <v>235</v>
      </c>
      <c r="G4445" s="16"/>
      <c r="L4445" s="17"/>
      <c r="M4445" s="17"/>
    </row>
    <row r="4446" spans="1:16" x14ac:dyDescent="0.35">
      <c r="A4446">
        <v>138</v>
      </c>
      <c r="B4446" s="5">
        <v>43895</v>
      </c>
      <c r="C4446" s="15" t="str">
        <f>VLOOKUP(A4446,Inventory!$A$4:$K$1139,2)</f>
        <v>Sidamo Chuchu 2017</v>
      </c>
      <c r="E4446" s="11"/>
      <c r="F4446" s="31" t="s">
        <v>291</v>
      </c>
      <c r="G4446" s="2" t="s">
        <v>286</v>
      </c>
      <c r="L4446" s="17"/>
      <c r="M4446" s="17"/>
      <c r="P4446" s="8"/>
    </row>
    <row r="4447" spans="1:16" x14ac:dyDescent="0.35">
      <c r="D4447" s="11"/>
      <c r="E4447" s="11"/>
      <c r="G4447" s="16"/>
      <c r="L4447" s="19"/>
      <c r="M4447" s="19"/>
    </row>
    <row r="4448" spans="1:16" x14ac:dyDescent="0.35">
      <c r="B4448" s="20"/>
      <c r="C4448" s="11" t="s">
        <v>240</v>
      </c>
      <c r="D4448" s="11" t="s">
        <v>272</v>
      </c>
      <c r="E4448" s="11" t="s">
        <v>426</v>
      </c>
      <c r="F4448" s="11">
        <v>377</v>
      </c>
      <c r="G4448" s="11">
        <v>382</v>
      </c>
      <c r="H4448" s="11">
        <v>388</v>
      </c>
      <c r="I4448" s="11">
        <v>391</v>
      </c>
      <c r="J4448" s="11"/>
      <c r="K4448" s="11"/>
      <c r="L4448" s="28"/>
    </row>
    <row r="4449" spans="1:16" ht="15.75" customHeight="1" x14ac:dyDescent="0.35">
      <c r="B4449" s="20" t="s">
        <v>242</v>
      </c>
      <c r="C4449" s="30"/>
      <c r="D4449" s="30"/>
      <c r="E4449" s="23" t="s">
        <v>244</v>
      </c>
      <c r="F4449" s="23" t="s">
        <v>245</v>
      </c>
      <c r="G4449" s="23" t="s">
        <v>246</v>
      </c>
      <c r="H4449" s="23" t="s">
        <v>247</v>
      </c>
      <c r="I4449" s="23" t="s">
        <v>248</v>
      </c>
      <c r="O4449" s="4"/>
    </row>
    <row r="4450" spans="1:16" ht="1" customHeight="1" x14ac:dyDescent="0.35">
      <c r="B4450" s="24" t="s">
        <v>249</v>
      </c>
      <c r="C4450" s="25"/>
      <c r="D4450" s="25"/>
      <c r="E4450" s="25"/>
      <c r="F4450" s="25"/>
      <c r="G4450" s="25"/>
      <c r="H4450" s="25"/>
      <c r="I4450" s="25"/>
      <c r="O4450" t="e">
        <f>(O4448-3*O4447)/O4449</f>
        <v>#DIV/0!</v>
      </c>
    </row>
    <row r="4451" spans="1:16" ht="15.75" customHeight="1" x14ac:dyDescent="0.35">
      <c r="B4451" s="20" t="s">
        <v>250</v>
      </c>
      <c r="C4451" s="26">
        <v>0.18055555555555555</v>
      </c>
      <c r="D4451" s="26">
        <v>0.2638888888888889</v>
      </c>
      <c r="E4451" s="26">
        <v>0.34375</v>
      </c>
      <c r="F4451" s="26">
        <f>E4451+'Lookup Tables'!$N$1</f>
        <v>0.36458333333333331</v>
      </c>
      <c r="G4451" s="26">
        <f>F4451+'Lookup Tables'!$N$1</f>
        <v>0.38541666666666663</v>
      </c>
      <c r="H4451" s="26">
        <f>G4451+'Lookup Tables'!$N$1</f>
        <v>0.40624999999999994</v>
      </c>
      <c r="I4451" s="26">
        <f>H4451+'Lookup Tables'!$S$1</f>
        <v>0.41666666666666663</v>
      </c>
      <c r="N4451">
        <f>MAX(F4448:M4448)-O4451</f>
        <v>21</v>
      </c>
      <c r="O4451" t="str">
        <f>RIGHT(E4448,3)</f>
        <v>370</v>
      </c>
    </row>
    <row r="4452" spans="1:16" ht="15.75" customHeight="1" x14ac:dyDescent="0.35">
      <c r="B4452" s="20" t="s">
        <v>251</v>
      </c>
      <c r="C4452" s="27">
        <v>0.2</v>
      </c>
      <c r="D4452" s="27">
        <v>0.5</v>
      </c>
      <c r="E4452" s="27"/>
      <c r="F4452" s="27"/>
      <c r="G4452" s="27"/>
      <c r="H4452" s="27"/>
      <c r="I4452" s="27"/>
      <c r="N4452" t="str">
        <f xml:space="preserve">  N4451 &amp; " degrees this time"</f>
        <v>21 degrees this time</v>
      </c>
    </row>
    <row r="4453" spans="1:16" ht="15.75" customHeight="1" x14ac:dyDescent="0.35">
      <c r="B4453" s="20" t="s">
        <v>252</v>
      </c>
      <c r="C4453" s="27">
        <v>0.9</v>
      </c>
      <c r="D4453" s="27">
        <v>0.7</v>
      </c>
      <c r="E4453" s="27"/>
      <c r="F4453" s="27">
        <v>0.5</v>
      </c>
      <c r="G4453" s="27"/>
      <c r="H4453" s="27"/>
      <c r="I4453" s="27" t="s">
        <v>275</v>
      </c>
    </row>
    <row r="4454" spans="1:16" ht="15.75" customHeight="1" x14ac:dyDescent="0.35">
      <c r="B4454" s="20"/>
      <c r="F4454" s="1"/>
    </row>
    <row r="4455" spans="1:16" ht="15.75" customHeight="1" x14ac:dyDescent="0.35">
      <c r="B4455" s="20"/>
      <c r="G4455" s="1" t="s">
        <v>504</v>
      </c>
      <c r="K4455" s="9" t="s">
        <v>508</v>
      </c>
      <c r="L4455" s="9"/>
      <c r="M4455" s="9"/>
    </row>
    <row r="4456" spans="1:16" ht="15.75" customHeight="1" x14ac:dyDescent="0.35">
      <c r="B4456" s="20"/>
      <c r="G4456" s="1"/>
      <c r="H4456" s="1"/>
      <c r="K4456" s="9"/>
      <c r="L4456" s="9"/>
      <c r="M4456" s="9"/>
    </row>
    <row r="4457" spans="1:16" ht="15.75" customHeight="1" x14ac:dyDescent="0.35">
      <c r="B4457" s="20"/>
      <c r="G4457" s="1"/>
      <c r="H4457" s="1"/>
      <c r="K4457" s="9" t="s">
        <v>300</v>
      </c>
      <c r="L4457" s="9"/>
      <c r="M4457" s="9"/>
    </row>
    <row r="4458" spans="1:16" ht="15.75" customHeight="1" x14ac:dyDescent="0.35">
      <c r="B4458" s="9"/>
      <c r="C4458" s="9"/>
      <c r="D4458" s="9"/>
      <c r="E4458" s="9"/>
      <c r="F4458" s="12"/>
      <c r="G4458" s="12"/>
      <c r="H4458" s="12"/>
      <c r="I4458" s="12"/>
      <c r="J4458" s="12"/>
      <c r="K4458" s="12"/>
      <c r="L4458" s="1"/>
    </row>
    <row r="4459" spans="1:16" ht="15.75" customHeight="1" x14ac:dyDescent="0.35">
      <c r="B4459" s="13"/>
      <c r="C4459" s="13"/>
      <c r="D4459" s="13"/>
      <c r="E4459" s="13"/>
      <c r="F4459" s="13"/>
      <c r="G4459" s="13"/>
      <c r="I4459" s="14"/>
    </row>
    <row r="4460" spans="1:16" x14ac:dyDescent="0.35">
      <c r="B4460" s="13" t="s">
        <v>5</v>
      </c>
      <c r="C4460" s="13" t="s">
        <v>1</v>
      </c>
      <c r="D4460" s="15" t="str">
        <f>VLOOKUP(A4461,Inventory!$A$4:$K$1139,7)</f>
        <v xml:space="preserve">GCBC                               </v>
      </c>
      <c r="F4460" s="13" t="s">
        <v>235</v>
      </c>
      <c r="G4460" s="16"/>
      <c r="H4460" s="14" t="s">
        <v>236</v>
      </c>
      <c r="L4460" s="17"/>
      <c r="M4460" s="17"/>
    </row>
    <row r="4461" spans="1:16" x14ac:dyDescent="0.35">
      <c r="A4461">
        <v>149</v>
      </c>
      <c r="B4461" s="5">
        <v>43892</v>
      </c>
      <c r="C4461" s="15" t="str">
        <f>VLOOKUP(A4461,Inventory!$A$4:$K$1139,2)</f>
        <v>Organic Ethiopian Sidamo WP 2018 Decaf</v>
      </c>
      <c r="F4461" s="18" t="s">
        <v>237</v>
      </c>
      <c r="G4461" s="2" t="s">
        <v>238</v>
      </c>
      <c r="L4461" s="17"/>
      <c r="M4461" s="17"/>
      <c r="P4461" s="8"/>
    </row>
    <row r="4462" spans="1:16" x14ac:dyDescent="0.35">
      <c r="J4462" s="1" t="s">
        <v>16</v>
      </c>
      <c r="L4462" s="19"/>
      <c r="M4462" s="19"/>
    </row>
    <row r="4463" spans="1:16" x14ac:dyDescent="0.35">
      <c r="C4463" s="11" t="s">
        <v>240</v>
      </c>
      <c r="D4463" s="11" t="s">
        <v>241</v>
      </c>
      <c r="E4463" s="11" t="s">
        <v>517</v>
      </c>
      <c r="F4463" s="11">
        <v>365</v>
      </c>
      <c r="G4463" s="11">
        <v>371</v>
      </c>
      <c r="H4463" s="11">
        <v>376</v>
      </c>
      <c r="I4463" s="11">
        <v>381</v>
      </c>
      <c r="J4463" s="11">
        <v>383</v>
      </c>
      <c r="K4463" s="11">
        <v>386</v>
      </c>
      <c r="L4463" s="11"/>
    </row>
    <row r="4464" spans="1:16" ht="15.75" customHeight="1" x14ac:dyDescent="0.35">
      <c r="B4464" s="20" t="s">
        <v>242</v>
      </c>
      <c r="C4464" s="30"/>
      <c r="D4464" s="30"/>
      <c r="E4464" s="23" t="s">
        <v>244</v>
      </c>
      <c r="F4464" s="23" t="s">
        <v>245</v>
      </c>
      <c r="G4464" s="23" t="s">
        <v>246</v>
      </c>
      <c r="H4464" s="23" t="s">
        <v>247</v>
      </c>
      <c r="I4464" s="23" t="s">
        <v>259</v>
      </c>
      <c r="J4464" s="23" t="s">
        <v>260</v>
      </c>
      <c r="K4464" s="23" t="s">
        <v>261</v>
      </c>
      <c r="O4464" s="4"/>
    </row>
    <row r="4465" spans="1:16" ht="1" customHeight="1" x14ac:dyDescent="0.35">
      <c r="B4465" s="24" t="s">
        <v>249</v>
      </c>
      <c r="C4465" s="25">
        <v>320</v>
      </c>
      <c r="D4465" s="25">
        <v>350</v>
      </c>
      <c r="E4465" s="25">
        <v>377</v>
      </c>
      <c r="F4465" s="25">
        <v>384</v>
      </c>
      <c r="G4465" s="25">
        <v>388</v>
      </c>
      <c r="H4465" s="25">
        <v>392</v>
      </c>
      <c r="I4465" s="25">
        <v>395</v>
      </c>
      <c r="J4465" s="25">
        <v>415</v>
      </c>
      <c r="K4465" s="25">
        <v>415</v>
      </c>
      <c r="O4465" t="e">
        <f>(O4463-3*O4462)/O4464</f>
        <v>#DIV/0!</v>
      </c>
    </row>
    <row r="4466" spans="1:16" ht="15.75" customHeight="1" x14ac:dyDescent="0.35">
      <c r="B4466" s="20" t="s">
        <v>250</v>
      </c>
      <c r="C4466" s="26">
        <v>0.27430555555555552</v>
      </c>
      <c r="D4466" s="26">
        <v>0.36805555555555558</v>
      </c>
      <c r="E4466" s="26">
        <v>0.44097222222222227</v>
      </c>
      <c r="F4466" s="26">
        <f>E4466+'Lookup Tables'!$N$1</f>
        <v>0.46180555555555558</v>
      </c>
      <c r="G4466" s="26">
        <f>F4466+'Lookup Tables'!$N$1</f>
        <v>0.4826388888888889</v>
      </c>
      <c r="H4466" s="26">
        <f>G4466+'Lookup Tables'!$N$1</f>
        <v>0.50347222222222221</v>
      </c>
      <c r="I4466" s="26">
        <f>H4466+'Lookup Tables'!$N$1</f>
        <v>0.52430555555555558</v>
      </c>
      <c r="J4466" s="26">
        <f>I4466+'Lookup Tables'!$M$1</f>
        <v>0.53472222222222221</v>
      </c>
      <c r="K4466" s="26">
        <f>J4466+'Lookup Tables'!$M$1</f>
        <v>0.54513888888888884</v>
      </c>
      <c r="N4466">
        <f>MAX(F4463:M4463)-O4466</f>
        <v>27</v>
      </c>
      <c r="O4466" t="str">
        <f>RIGHT(E4463,3)</f>
        <v>359</v>
      </c>
    </row>
    <row r="4467" spans="1:16" ht="15.75" customHeight="1" x14ac:dyDescent="0.35">
      <c r="B4467" s="20" t="s">
        <v>251</v>
      </c>
      <c r="C4467" s="27">
        <v>0.2</v>
      </c>
      <c r="D4467" s="27">
        <v>0.5</v>
      </c>
      <c r="E4467" s="27"/>
      <c r="F4467" s="27"/>
      <c r="G4467" s="27"/>
      <c r="H4467" s="27" t="s">
        <v>274</v>
      </c>
      <c r="I4467" s="27"/>
      <c r="J4467" s="27"/>
      <c r="K4467" s="25"/>
      <c r="N4467" t="str">
        <f xml:space="preserve">  N4466 &amp; " degrees this time"</f>
        <v>27 degrees this time</v>
      </c>
    </row>
    <row r="4468" spans="1:16" ht="15.75" customHeight="1" x14ac:dyDescent="0.35">
      <c r="B4468" s="20" t="s">
        <v>252</v>
      </c>
      <c r="C4468" s="27">
        <v>0.9</v>
      </c>
      <c r="D4468" s="27">
        <v>0.7</v>
      </c>
      <c r="E4468" s="27">
        <v>0.6</v>
      </c>
      <c r="F4468" s="27"/>
      <c r="G4468" s="27"/>
      <c r="H4468" s="27" t="s">
        <v>274</v>
      </c>
      <c r="I4468" s="27"/>
      <c r="J4468" s="27"/>
      <c r="K4468" s="27"/>
    </row>
    <row r="4469" spans="1:16" ht="15.75" customHeight="1" x14ac:dyDescent="0.35">
      <c r="B4469" s="20"/>
      <c r="D4469" s="11"/>
      <c r="E4469" s="11"/>
      <c r="F4469" s="28"/>
      <c r="H4469" s="1"/>
      <c r="I4469" s="1"/>
    </row>
    <row r="4470" spans="1:16" ht="15.75" customHeight="1" x14ac:dyDescent="0.35">
      <c r="G4470" s="1" t="s">
        <v>383</v>
      </c>
      <c r="K4470" s="9"/>
      <c r="L4470" s="9"/>
      <c r="M4470" s="9"/>
    </row>
    <row r="4471" spans="1:16" ht="15.75" customHeight="1" x14ac:dyDescent="0.35">
      <c r="B4471" s="20"/>
      <c r="G4471" s="1"/>
      <c r="H4471" s="1"/>
      <c r="K4471" s="9"/>
      <c r="L4471" s="9"/>
      <c r="M4471" s="9"/>
    </row>
    <row r="4472" spans="1:16" ht="15.75" customHeight="1" x14ac:dyDescent="0.35">
      <c r="B4472" s="20"/>
      <c r="G4472" s="1"/>
      <c r="H4472" s="1"/>
      <c r="K4472" s="9" t="s">
        <v>254</v>
      </c>
      <c r="L4472" s="9"/>
      <c r="M4472" s="9"/>
    </row>
    <row r="4473" spans="1:16" ht="15.75" customHeight="1" x14ac:dyDescent="0.35">
      <c r="B4473" s="9"/>
      <c r="C4473" s="9"/>
      <c r="D4473" s="9"/>
      <c r="E4473" s="9"/>
      <c r="F4473" s="12"/>
      <c r="G4473" s="12"/>
      <c r="H4473" s="12"/>
      <c r="I4473" s="12"/>
      <c r="J4473" s="12"/>
      <c r="K4473" s="12"/>
      <c r="L4473" s="1"/>
    </row>
    <row r="4474" spans="1:16" ht="15.75" customHeight="1" x14ac:dyDescent="0.35">
      <c r="B4474" s="13"/>
      <c r="C4474" s="13"/>
      <c r="D4474" s="15"/>
      <c r="H4474" s="14" t="s">
        <v>255</v>
      </c>
      <c r="I4474" s="14"/>
    </row>
    <row r="4475" spans="1:16" x14ac:dyDescent="0.35">
      <c r="B4475" s="13" t="s">
        <v>5</v>
      </c>
      <c r="C4475" s="13" t="s">
        <v>1</v>
      </c>
      <c r="D4475" s="15" t="str">
        <f>VLOOKUP(A4476,Inventory!$A$4:$K$1139,7)</f>
        <v xml:space="preserve">GCBC                               </v>
      </c>
      <c r="F4475" s="13" t="s">
        <v>235</v>
      </c>
      <c r="G4475" s="16"/>
      <c r="H4475" s="14" t="s">
        <v>256</v>
      </c>
      <c r="L4475" s="17"/>
      <c r="M4475" s="17"/>
    </row>
    <row r="4476" spans="1:16" x14ac:dyDescent="0.35">
      <c r="A4476">
        <v>149</v>
      </c>
      <c r="B4476" s="5">
        <v>43892</v>
      </c>
      <c r="C4476" s="15" t="str">
        <f>VLOOKUP(A4476,Inventory!$A$4:$K$1139,2)</f>
        <v>Organic Ethiopian Sidamo WP 2018 Decaf</v>
      </c>
      <c r="F4476" s="18" t="s">
        <v>257</v>
      </c>
      <c r="G4476" s="2" t="s">
        <v>238</v>
      </c>
      <c r="L4476" s="17"/>
      <c r="M4476" s="17"/>
      <c r="P4476" s="8"/>
    </row>
    <row r="4477" spans="1:16" x14ac:dyDescent="0.35">
      <c r="L4477" s="19"/>
      <c r="M4477" s="19"/>
    </row>
    <row r="4478" spans="1:16" x14ac:dyDescent="0.35">
      <c r="C4478" s="11" t="s">
        <v>240</v>
      </c>
      <c r="D4478" s="11" t="s">
        <v>241</v>
      </c>
      <c r="E4478" s="11" t="s">
        <v>430</v>
      </c>
      <c r="F4478" s="11">
        <v>373</v>
      </c>
      <c r="G4478" s="11">
        <v>377</v>
      </c>
      <c r="H4478" s="11">
        <v>384</v>
      </c>
      <c r="I4478" s="11">
        <v>390</v>
      </c>
      <c r="J4478" s="11">
        <v>393</v>
      </c>
      <c r="K4478" s="11"/>
      <c r="L4478" s="11"/>
    </row>
    <row r="4479" spans="1:16" ht="15.75" customHeight="1" x14ac:dyDescent="0.35">
      <c r="B4479" s="20" t="s">
        <v>242</v>
      </c>
      <c r="C4479" s="30"/>
      <c r="D4479" s="30"/>
      <c r="E4479" s="23" t="s">
        <v>244</v>
      </c>
      <c r="F4479" s="23" t="s">
        <v>245</v>
      </c>
      <c r="G4479" s="23" t="s">
        <v>246</v>
      </c>
      <c r="H4479" s="23" t="s">
        <v>247</v>
      </c>
      <c r="I4479" s="23" t="s">
        <v>259</v>
      </c>
      <c r="J4479" s="23" t="s">
        <v>260</v>
      </c>
      <c r="K4479" s="23" t="s">
        <v>261</v>
      </c>
      <c r="O4479" s="4"/>
    </row>
    <row r="4480" spans="1:16" ht="1" customHeight="1" x14ac:dyDescent="0.35">
      <c r="B4480" s="24" t="s">
        <v>249</v>
      </c>
      <c r="C4480" s="25">
        <v>320</v>
      </c>
      <c r="D4480" s="25">
        <v>350</v>
      </c>
      <c r="E4480" s="25">
        <v>377</v>
      </c>
      <c r="F4480" s="25">
        <v>384</v>
      </c>
      <c r="G4480" s="25">
        <v>388</v>
      </c>
      <c r="H4480" s="25">
        <v>392</v>
      </c>
      <c r="I4480" s="25">
        <v>395</v>
      </c>
      <c r="J4480" s="25">
        <v>415</v>
      </c>
      <c r="K4480" s="25">
        <v>415</v>
      </c>
      <c r="O4480" t="e">
        <f>(O4478-3*O4477)/O4479</f>
        <v>#DIV/0!</v>
      </c>
    </row>
    <row r="4481" spans="1:16" ht="15.75" customHeight="1" x14ac:dyDescent="0.35">
      <c r="B4481" s="20" t="s">
        <v>250</v>
      </c>
      <c r="C4481" s="26">
        <v>0.22916666666666666</v>
      </c>
      <c r="D4481" s="26">
        <v>0.3125</v>
      </c>
      <c r="E4481" s="26">
        <v>0.40972222222222227</v>
      </c>
      <c r="F4481" s="26">
        <f>E4481+'Lookup Tables'!$N$1</f>
        <v>0.43055555555555558</v>
      </c>
      <c r="G4481" s="26">
        <f>F4481+'Lookup Tables'!$N$1</f>
        <v>0.4513888888888889</v>
      </c>
      <c r="H4481" s="26">
        <f>G4481+'Lookup Tables'!$N$1</f>
        <v>0.47222222222222221</v>
      </c>
      <c r="I4481" s="26">
        <f>H4481+'Lookup Tables'!$N$1</f>
        <v>0.49305555555555552</v>
      </c>
      <c r="J4481" s="26">
        <f>I4481+'Lookup Tables'!$M$1</f>
        <v>0.50347222222222221</v>
      </c>
      <c r="K4481" s="26">
        <f>J4481+'Lookup Tables'!$M$1</f>
        <v>0.51388888888888884</v>
      </c>
      <c r="N4481">
        <f>MAX(F4478:M4478)-O4481</f>
        <v>25</v>
      </c>
      <c r="O4481" t="str">
        <f>RIGHT(E4478,3)</f>
        <v>368</v>
      </c>
    </row>
    <row r="4482" spans="1:16" ht="15.75" customHeight="1" x14ac:dyDescent="0.35">
      <c r="B4482" s="20" t="s">
        <v>251</v>
      </c>
      <c r="C4482" s="27">
        <v>0.2</v>
      </c>
      <c r="D4482" s="27">
        <v>0.5</v>
      </c>
      <c r="E4482" s="27"/>
      <c r="F4482" s="27"/>
      <c r="G4482" s="27"/>
      <c r="H4482" s="27"/>
      <c r="I4482" s="27"/>
      <c r="J4482" s="27"/>
      <c r="K4482" s="25"/>
      <c r="N4482" t="str">
        <f xml:space="preserve">  N4481 &amp; " degrees this time"</f>
        <v>25 degrees this time</v>
      </c>
    </row>
    <row r="4483" spans="1:16" ht="15.75" customHeight="1" x14ac:dyDescent="0.35">
      <c r="B4483" s="20" t="s">
        <v>252</v>
      </c>
      <c r="C4483" s="27">
        <v>0.9</v>
      </c>
      <c r="D4483" s="27">
        <v>0.7</v>
      </c>
      <c r="E4483" s="27">
        <v>0.6</v>
      </c>
      <c r="F4483" s="27"/>
      <c r="G4483" s="27"/>
      <c r="H4483" s="27"/>
      <c r="I4483" s="27"/>
      <c r="J4483" s="27"/>
      <c r="K4483" s="27"/>
    </row>
    <row r="4484" spans="1:16" ht="15.75" customHeight="1" x14ac:dyDescent="0.35">
      <c r="B4484" s="20"/>
      <c r="D4484" s="11"/>
      <c r="E4484" s="11"/>
      <c r="F4484" s="28"/>
      <c r="H4484" s="1"/>
    </row>
    <row r="4485" spans="1:16" ht="15.75" customHeight="1" x14ac:dyDescent="0.35">
      <c r="B4485" s="1" t="s">
        <v>385</v>
      </c>
      <c r="F4485" t="s">
        <v>263</v>
      </c>
      <c r="G4485" s="1"/>
      <c r="K4485" s="9" t="s">
        <v>386</v>
      </c>
      <c r="L4485" s="9"/>
      <c r="M4485" s="9"/>
    </row>
    <row r="4486" spans="1:16" ht="15.75" customHeight="1" x14ac:dyDescent="0.35">
      <c r="B4486" s="20" t="s">
        <v>264</v>
      </c>
      <c r="D4486" s="29"/>
      <c r="F4486" t="s">
        <v>265</v>
      </c>
      <c r="G4486" s="1"/>
      <c r="H4486" s="1"/>
      <c r="K4486" s="9"/>
      <c r="L4486" s="9"/>
      <c r="M4486" s="9"/>
    </row>
    <row r="4487" spans="1:16" ht="15.75" customHeight="1" x14ac:dyDescent="0.35">
      <c r="B4487" s="20" t="s">
        <v>267</v>
      </c>
      <c r="F4487" t="s">
        <v>268</v>
      </c>
      <c r="G4487" s="1"/>
      <c r="H4487" s="1"/>
      <c r="K4487" s="9" t="s">
        <v>254</v>
      </c>
      <c r="L4487" s="9"/>
      <c r="M4487" s="9"/>
    </row>
    <row r="4488" spans="1:16" ht="15.75" customHeight="1" x14ac:dyDescent="0.35">
      <c r="B4488" s="9"/>
      <c r="C4488" s="9"/>
      <c r="D4488" s="9"/>
      <c r="E4488" s="9"/>
      <c r="F4488" s="12"/>
      <c r="G4488" s="12"/>
      <c r="H4488" s="12"/>
      <c r="I4488" s="12"/>
      <c r="J4488" s="12"/>
      <c r="K4488" s="12"/>
      <c r="L4488" s="1"/>
    </row>
    <row r="4489" spans="1:16" ht="15.75" customHeight="1" x14ac:dyDescent="0.35">
      <c r="B4489" s="13"/>
      <c r="C4489" s="13"/>
      <c r="D4489" s="13"/>
      <c r="E4489" s="13"/>
      <c r="F4489" s="33" t="s">
        <v>278</v>
      </c>
      <c r="G4489" s="13"/>
      <c r="I4489" s="14"/>
    </row>
    <row r="4490" spans="1:16" x14ac:dyDescent="0.35">
      <c r="B4490" s="13" t="s">
        <v>5</v>
      </c>
      <c r="C4490" s="13" t="s">
        <v>1</v>
      </c>
      <c r="D4490" s="15" t="str">
        <f>VLOOKUP(A4491,Inventory!$A$4:$K$1139,7)</f>
        <v xml:space="preserve">GCBC                               </v>
      </c>
      <c r="F4490" s="13" t="s">
        <v>235</v>
      </c>
      <c r="G4490" s="16"/>
      <c r="H4490" s="14" t="s">
        <v>236</v>
      </c>
      <c r="L4490" s="17"/>
      <c r="M4490" s="17"/>
    </row>
    <row r="4491" spans="1:16" x14ac:dyDescent="0.35">
      <c r="A4491">
        <v>155</v>
      </c>
      <c r="B4491" s="5">
        <v>43892</v>
      </c>
      <c r="C4491" s="15" t="str">
        <f>VLOOKUP(A4491,Inventory!$A$4:$K$1139,2)</f>
        <v>Organic Ethiopian Sidamo 2019 WP Decaf</v>
      </c>
      <c r="F4491" s="18" t="s">
        <v>237</v>
      </c>
      <c r="G4491" s="2" t="s">
        <v>238</v>
      </c>
      <c r="L4491" s="17"/>
      <c r="M4491" s="17"/>
      <c r="P4491" s="8"/>
    </row>
    <row r="4492" spans="1:16" x14ac:dyDescent="0.35">
      <c r="J4492" s="1" t="s">
        <v>16</v>
      </c>
      <c r="L4492" s="19"/>
      <c r="M4492" s="19"/>
    </row>
    <row r="4493" spans="1:16" x14ac:dyDescent="0.35">
      <c r="C4493" s="11" t="s">
        <v>240</v>
      </c>
      <c r="D4493" s="11" t="s">
        <v>241</v>
      </c>
      <c r="E4493" s="11" t="s">
        <v>477</v>
      </c>
      <c r="F4493" s="11">
        <v>368</v>
      </c>
      <c r="G4493" s="11">
        <v>373</v>
      </c>
      <c r="H4493" s="11">
        <v>379</v>
      </c>
      <c r="I4493" s="11">
        <v>387</v>
      </c>
      <c r="J4493" s="11">
        <v>389</v>
      </c>
      <c r="K4493" s="11" t="s">
        <v>457</v>
      </c>
    </row>
    <row r="4494" spans="1:16" ht="15.75" customHeight="1" x14ac:dyDescent="0.35">
      <c r="B4494" s="20" t="s">
        <v>242</v>
      </c>
      <c r="C4494" s="30"/>
      <c r="D4494" s="22" t="s">
        <v>433</v>
      </c>
      <c r="E4494" s="23" t="s">
        <v>244</v>
      </c>
      <c r="F4494" s="23" t="s">
        <v>245</v>
      </c>
      <c r="G4494" s="23" t="s">
        <v>246</v>
      </c>
      <c r="H4494" s="23" t="s">
        <v>247</v>
      </c>
      <c r="I4494" s="23" t="s">
        <v>259</v>
      </c>
      <c r="J4494" s="23" t="s">
        <v>260</v>
      </c>
      <c r="K4494" s="23" t="s">
        <v>261</v>
      </c>
      <c r="O4494" s="4"/>
    </row>
    <row r="4495" spans="1:16" ht="1" customHeight="1" x14ac:dyDescent="0.35">
      <c r="B4495" s="24" t="s">
        <v>249</v>
      </c>
      <c r="C4495" s="25">
        <v>320</v>
      </c>
      <c r="D4495" s="25">
        <v>350</v>
      </c>
      <c r="E4495" s="25">
        <v>377</v>
      </c>
      <c r="F4495" s="25">
        <v>384</v>
      </c>
      <c r="G4495" s="25">
        <v>388</v>
      </c>
      <c r="H4495" s="25">
        <v>392</v>
      </c>
      <c r="I4495" s="25">
        <v>395</v>
      </c>
      <c r="J4495" s="25">
        <v>415</v>
      </c>
      <c r="K4495" s="25">
        <v>415</v>
      </c>
      <c r="O4495" t="e">
        <f>(O4493-3*O4492)/O4494</f>
        <v>#DIV/0!</v>
      </c>
    </row>
    <row r="4496" spans="1:16" ht="15.75" customHeight="1" x14ac:dyDescent="0.35">
      <c r="B4496" s="20" t="s">
        <v>250</v>
      </c>
      <c r="C4496" s="26">
        <v>0.24652777777777779</v>
      </c>
      <c r="D4496" s="26">
        <v>0.33333333333333331</v>
      </c>
      <c r="E4496" s="26">
        <v>0.41319444444444442</v>
      </c>
      <c r="F4496" s="26">
        <f>E4496+'Lookup Tables'!$N$1</f>
        <v>0.43402777777777773</v>
      </c>
      <c r="G4496" s="26">
        <f>F4496+'Lookup Tables'!$N$1</f>
        <v>0.45486111111111105</v>
      </c>
      <c r="H4496" s="26">
        <f>G4496+'Lookup Tables'!$N$1</f>
        <v>0.47569444444444436</v>
      </c>
      <c r="I4496" s="26">
        <f>H4496+'Lookup Tables'!$N$1</f>
        <v>0.49652777777777768</v>
      </c>
      <c r="J4496" s="26">
        <f>I4496+'Lookup Tables'!$M$1</f>
        <v>0.50694444444444431</v>
      </c>
      <c r="K4496" s="26">
        <f>J4496+'Lookup Tables'!$M$1</f>
        <v>0.51736111111111094</v>
      </c>
      <c r="N4496">
        <f>MAX(F4493:M4493)-O4496</f>
        <v>27</v>
      </c>
      <c r="O4496" t="str">
        <f>RIGHT(E4493,3)</f>
        <v>362</v>
      </c>
    </row>
    <row r="4497" spans="1:16" ht="15.75" customHeight="1" x14ac:dyDescent="0.35">
      <c r="B4497" s="20" t="s">
        <v>251</v>
      </c>
      <c r="C4497" s="27">
        <v>0.2</v>
      </c>
      <c r="D4497" s="27">
        <v>0.5</v>
      </c>
      <c r="E4497" s="27"/>
      <c r="F4497" s="27"/>
      <c r="G4497" s="27"/>
      <c r="H4497" s="27"/>
      <c r="I4497" s="27"/>
      <c r="J4497" s="27"/>
      <c r="K4497" s="27"/>
      <c r="N4497" t="str">
        <f xml:space="preserve">  N4496 &amp; " degrees this time"</f>
        <v>27 degrees this time</v>
      </c>
    </row>
    <row r="4498" spans="1:16" ht="15.75" customHeight="1" x14ac:dyDescent="0.35">
      <c r="B4498" s="20" t="s">
        <v>252</v>
      </c>
      <c r="C4498" s="27">
        <v>0.9</v>
      </c>
      <c r="D4498" s="27">
        <v>0.7</v>
      </c>
      <c r="E4498" s="27">
        <v>0.6</v>
      </c>
      <c r="F4498" s="27"/>
      <c r="G4498" s="27"/>
      <c r="H4498" s="27"/>
      <c r="I4498" s="27"/>
      <c r="J4498" s="27"/>
      <c r="K4498" s="27"/>
    </row>
    <row r="4499" spans="1:16" ht="15.75" customHeight="1" x14ac:dyDescent="0.35">
      <c r="B4499" s="20"/>
      <c r="D4499" s="11"/>
      <c r="E4499" s="11"/>
      <c r="F4499" s="28"/>
      <c r="H4499" s="1"/>
      <c r="I4499" s="1"/>
    </row>
    <row r="4500" spans="1:16" ht="15.75" customHeight="1" x14ac:dyDescent="0.35">
      <c r="G4500" s="1" t="s">
        <v>383</v>
      </c>
      <c r="K4500" s="9" t="s">
        <v>545</v>
      </c>
      <c r="L4500" s="9"/>
      <c r="M4500" s="9"/>
    </row>
    <row r="4501" spans="1:16" ht="15.75" customHeight="1" x14ac:dyDescent="0.35">
      <c r="B4501" s="20"/>
      <c r="G4501" s="1"/>
      <c r="H4501" s="1"/>
      <c r="K4501" s="9"/>
      <c r="L4501" s="9"/>
      <c r="M4501" s="9"/>
    </row>
    <row r="4502" spans="1:16" ht="15.75" customHeight="1" x14ac:dyDescent="0.35">
      <c r="B4502" s="20"/>
      <c r="G4502" s="1"/>
      <c r="H4502" s="1"/>
      <c r="K4502" s="9" t="s">
        <v>254</v>
      </c>
      <c r="L4502" s="9"/>
      <c r="M4502" s="9"/>
    </row>
    <row r="4503" spans="1:16" ht="15.75" customHeight="1" x14ac:dyDescent="0.35">
      <c r="B4503" s="9"/>
      <c r="C4503" s="9"/>
      <c r="D4503" s="9"/>
      <c r="E4503" s="9"/>
      <c r="F4503" s="12"/>
      <c r="G4503" s="12"/>
      <c r="H4503" s="12"/>
      <c r="I4503" s="12"/>
      <c r="J4503" s="12"/>
      <c r="K4503" s="12"/>
      <c r="L4503" s="1"/>
    </row>
    <row r="4504" spans="1:16" ht="15.75" customHeight="1" x14ac:dyDescent="0.35">
      <c r="B4504" s="13"/>
      <c r="C4504" s="13"/>
      <c r="D4504" s="15"/>
      <c r="H4504" s="14" t="s">
        <v>255</v>
      </c>
      <c r="I4504" s="14"/>
    </row>
    <row r="4505" spans="1:16" x14ac:dyDescent="0.35">
      <c r="B4505" s="13" t="s">
        <v>5</v>
      </c>
      <c r="C4505" s="13" t="s">
        <v>1</v>
      </c>
      <c r="D4505" s="15" t="str">
        <f>VLOOKUP(A4506,Inventory!$A$4:$K$1139,7)</f>
        <v xml:space="preserve">GCBC                               </v>
      </c>
      <c r="F4505" s="13" t="s">
        <v>235</v>
      </c>
      <c r="G4505" s="16"/>
      <c r="H4505" s="14" t="s">
        <v>256</v>
      </c>
      <c r="L4505" s="17"/>
      <c r="M4505" s="17"/>
    </row>
    <row r="4506" spans="1:16" x14ac:dyDescent="0.35">
      <c r="A4506">
        <v>155</v>
      </c>
      <c r="B4506" s="5">
        <v>43892</v>
      </c>
      <c r="C4506" s="15" t="str">
        <f>VLOOKUP(A4506,Inventory!$A$4:$K$1139,2)</f>
        <v>Organic Ethiopian Sidamo 2019 WP Decaf</v>
      </c>
      <c r="F4506" s="18" t="s">
        <v>257</v>
      </c>
      <c r="G4506" s="2" t="s">
        <v>238</v>
      </c>
      <c r="L4506" s="17"/>
      <c r="M4506" s="17"/>
      <c r="P4506" s="8"/>
    </row>
    <row r="4507" spans="1:16" x14ac:dyDescent="0.35">
      <c r="L4507" s="19"/>
      <c r="M4507" s="19"/>
    </row>
    <row r="4508" spans="1:16" x14ac:dyDescent="0.35">
      <c r="C4508" s="11" t="s">
        <v>240</v>
      </c>
      <c r="D4508" s="11" t="s">
        <v>241</v>
      </c>
      <c r="E4508" s="11" t="s">
        <v>427</v>
      </c>
      <c r="F4508" s="11">
        <v>375</v>
      </c>
      <c r="G4508" s="11">
        <v>380</v>
      </c>
      <c r="H4508" s="11">
        <v>386</v>
      </c>
      <c r="I4508" s="11">
        <v>393</v>
      </c>
      <c r="J4508" s="11"/>
      <c r="K4508" s="11"/>
      <c r="L4508" s="11"/>
    </row>
    <row r="4509" spans="1:16" ht="15.75" customHeight="1" x14ac:dyDescent="0.35">
      <c r="B4509" s="20" t="s">
        <v>242</v>
      </c>
      <c r="C4509" s="30"/>
      <c r="D4509" s="30"/>
      <c r="E4509" s="23" t="s">
        <v>244</v>
      </c>
      <c r="F4509" s="23" t="s">
        <v>245</v>
      </c>
      <c r="G4509" s="23" t="s">
        <v>246</v>
      </c>
      <c r="H4509" s="23" t="s">
        <v>247</v>
      </c>
      <c r="I4509" s="23" t="s">
        <v>259</v>
      </c>
      <c r="J4509" s="23" t="s">
        <v>260</v>
      </c>
      <c r="K4509" s="23" t="s">
        <v>261</v>
      </c>
      <c r="O4509" s="4"/>
    </row>
    <row r="4510" spans="1:16" ht="1" customHeight="1" x14ac:dyDescent="0.35">
      <c r="B4510" s="24" t="s">
        <v>249</v>
      </c>
      <c r="C4510" s="25">
        <v>320</v>
      </c>
      <c r="D4510" s="25">
        <v>350</v>
      </c>
      <c r="E4510" s="25">
        <v>377</v>
      </c>
      <c r="F4510" s="25">
        <v>384</v>
      </c>
      <c r="G4510" s="25">
        <v>388</v>
      </c>
      <c r="H4510" s="25">
        <v>392</v>
      </c>
      <c r="I4510" s="25">
        <v>395</v>
      </c>
      <c r="J4510" s="25">
        <v>415</v>
      </c>
      <c r="K4510" s="25">
        <v>415</v>
      </c>
      <c r="O4510" t="e">
        <f>(O4508-3*O4507)/O4509</f>
        <v>#DIV/0!</v>
      </c>
    </row>
    <row r="4511" spans="1:16" ht="15.75" customHeight="1" x14ac:dyDescent="0.35">
      <c r="B4511" s="20" t="s">
        <v>250</v>
      </c>
      <c r="C4511" s="26">
        <v>0.21527777777777779</v>
      </c>
      <c r="D4511" s="26">
        <v>0.28819444444444448</v>
      </c>
      <c r="E4511" s="26">
        <v>0.36805555555555558</v>
      </c>
      <c r="F4511" s="26">
        <f>E4511+'Lookup Tables'!$N$1</f>
        <v>0.3888888888888889</v>
      </c>
      <c r="G4511" s="26">
        <f>F4511+'Lookup Tables'!$N$1</f>
        <v>0.40972222222222221</v>
      </c>
      <c r="H4511" s="26">
        <f>G4511+'Lookup Tables'!$N$1</f>
        <v>0.43055555555555552</v>
      </c>
      <c r="I4511" s="26">
        <f>H4511+'Lookup Tables'!$N$1</f>
        <v>0.45138888888888884</v>
      </c>
      <c r="J4511" s="26">
        <f>I4511+'Lookup Tables'!$M$1</f>
        <v>0.46180555555555552</v>
      </c>
      <c r="K4511" s="26">
        <f>J4511+'Lookup Tables'!$M$1</f>
        <v>0.47222222222222221</v>
      </c>
      <c r="N4511">
        <f>MAX(F4508:M4508)-O4511</f>
        <v>27</v>
      </c>
      <c r="O4511" t="str">
        <f>RIGHT(E4508,3)</f>
        <v>366</v>
      </c>
    </row>
    <row r="4512" spans="1:16" ht="15.75" customHeight="1" x14ac:dyDescent="0.35">
      <c r="B4512" s="20" t="s">
        <v>251</v>
      </c>
      <c r="C4512" s="27">
        <v>0.2</v>
      </c>
      <c r="D4512" s="27">
        <v>0.5</v>
      </c>
      <c r="E4512" s="27"/>
      <c r="F4512" s="27"/>
      <c r="G4512" s="27"/>
      <c r="H4512" s="27"/>
      <c r="I4512" s="27"/>
      <c r="J4512" s="27"/>
      <c r="K4512" s="25"/>
      <c r="N4512" t="str">
        <f xml:space="preserve">  N4511 &amp; " degrees this time"</f>
        <v>27 degrees this time</v>
      </c>
    </row>
    <row r="4513" spans="1:16" ht="15.75" customHeight="1" x14ac:dyDescent="0.35">
      <c r="B4513" s="20" t="s">
        <v>252</v>
      </c>
      <c r="C4513" s="27">
        <v>0.9</v>
      </c>
      <c r="D4513" s="27">
        <v>0.7</v>
      </c>
      <c r="E4513" s="27">
        <v>0.6</v>
      </c>
      <c r="F4513" s="27"/>
      <c r="G4513" s="27"/>
      <c r="H4513" s="27"/>
      <c r="I4513" s="27"/>
      <c r="J4513" s="27"/>
      <c r="K4513" s="27"/>
    </row>
    <row r="4514" spans="1:16" ht="15.75" customHeight="1" x14ac:dyDescent="0.35">
      <c r="B4514" s="20"/>
      <c r="D4514" s="11"/>
      <c r="E4514" s="11"/>
      <c r="F4514" s="28"/>
      <c r="H4514" s="1"/>
    </row>
    <row r="4515" spans="1:16" ht="15.75" customHeight="1" x14ac:dyDescent="0.35">
      <c r="B4515" s="1" t="s">
        <v>385</v>
      </c>
      <c r="F4515" t="s">
        <v>263</v>
      </c>
      <c r="G4515" s="1"/>
      <c r="K4515" s="9"/>
      <c r="L4515" s="9"/>
      <c r="M4515" s="9"/>
    </row>
    <row r="4516" spans="1:16" ht="15.75" customHeight="1" x14ac:dyDescent="0.35">
      <c r="B4516" s="20" t="s">
        <v>264</v>
      </c>
      <c r="D4516" s="29"/>
      <c r="F4516" t="s">
        <v>265</v>
      </c>
      <c r="G4516" s="1"/>
      <c r="H4516" s="1"/>
      <c r="K4516" s="9" t="s">
        <v>386</v>
      </c>
      <c r="L4516" s="9"/>
      <c r="M4516" s="9"/>
    </row>
    <row r="4517" spans="1:16" ht="15.75" customHeight="1" x14ac:dyDescent="0.35">
      <c r="B4517" s="20" t="s">
        <v>267</v>
      </c>
      <c r="F4517" t="s">
        <v>268</v>
      </c>
      <c r="G4517" s="1"/>
      <c r="H4517" s="1"/>
      <c r="K4517" s="9" t="s">
        <v>254</v>
      </c>
      <c r="L4517" s="9"/>
      <c r="M4517" s="9"/>
    </row>
    <row r="4518" spans="1:16" ht="15.75" customHeight="1" x14ac:dyDescent="0.35">
      <c r="B4518" s="9"/>
      <c r="C4518" s="9"/>
      <c r="D4518" s="9"/>
      <c r="E4518" s="9"/>
      <c r="F4518" s="12"/>
      <c r="G4518" s="12"/>
      <c r="H4518" s="12"/>
      <c r="I4518" s="12"/>
      <c r="J4518" s="12"/>
      <c r="K4518" s="12"/>
      <c r="L4518" s="1"/>
    </row>
    <row r="4519" spans="1:16" ht="15.75" customHeight="1" x14ac:dyDescent="0.35">
      <c r="B4519" s="13"/>
      <c r="C4519" s="13"/>
      <c r="D4519" s="15"/>
    </row>
    <row r="4520" spans="1:16" x14ac:dyDescent="0.35">
      <c r="B4520" s="13" t="s">
        <v>5</v>
      </c>
      <c r="C4520" s="13" t="s">
        <v>1</v>
      </c>
      <c r="D4520" s="15" t="str">
        <f>VLOOKUP(A4521,Inventory!$A$4:$K$1139,7)</f>
        <v xml:space="preserve">GCBC                               </v>
      </c>
      <c r="F4520" s="13" t="s">
        <v>235</v>
      </c>
      <c r="G4520" s="16"/>
      <c r="L4520" s="17"/>
      <c r="M4520" s="17"/>
    </row>
    <row r="4521" spans="1:16" x14ac:dyDescent="0.35">
      <c r="A4521">
        <v>145</v>
      </c>
      <c r="B4521" s="5">
        <v>43875</v>
      </c>
      <c r="C4521" s="15" t="str">
        <f>VLOOKUP(A4521,Inventory!$A$4:$K$1139,2)</f>
        <v>Sumatra Harimau Tiger 2018</v>
      </c>
      <c r="E4521" s="11"/>
      <c r="F4521" s="34" t="s">
        <v>279</v>
      </c>
      <c r="G4521" s="2" t="s">
        <v>270</v>
      </c>
      <c r="J4521" s="8"/>
      <c r="L4521" s="17"/>
      <c r="M4521" s="17"/>
      <c r="P4521" s="8"/>
    </row>
    <row r="4522" spans="1:16" x14ac:dyDescent="0.35">
      <c r="B4522" s="13"/>
      <c r="C4522" s="13"/>
      <c r="D4522" s="11"/>
      <c r="F4522" s="13"/>
      <c r="G4522" s="16"/>
      <c r="K4522" s="1"/>
      <c r="L4522" s="19"/>
      <c r="M4522" s="19"/>
    </row>
    <row r="4523" spans="1:16" x14ac:dyDescent="0.35">
      <c r="B4523" s="20"/>
      <c r="C4523" s="11" t="s">
        <v>240</v>
      </c>
      <c r="D4523" s="11" t="s">
        <v>301</v>
      </c>
      <c r="E4523" s="11" t="s">
        <v>513</v>
      </c>
      <c r="F4523" s="11">
        <v>378</v>
      </c>
      <c r="G4523" s="11">
        <v>386</v>
      </c>
      <c r="H4523" s="11">
        <v>395</v>
      </c>
      <c r="I4523" s="11">
        <v>398</v>
      </c>
      <c r="J4523" s="11" t="s">
        <v>355</v>
      </c>
      <c r="K4523" s="11"/>
      <c r="L4523" s="28"/>
    </row>
    <row r="4524" spans="1:16" ht="15.75" customHeight="1" x14ac:dyDescent="0.35">
      <c r="B4524" s="20" t="s">
        <v>242</v>
      </c>
      <c r="C4524" s="21"/>
      <c r="D4524" s="22" t="s">
        <v>294</v>
      </c>
      <c r="E4524" s="23" t="s">
        <v>244</v>
      </c>
      <c r="F4524" s="23" t="s">
        <v>245</v>
      </c>
      <c r="G4524" s="23" t="s">
        <v>246</v>
      </c>
      <c r="H4524" s="23" t="s">
        <v>247</v>
      </c>
      <c r="I4524" s="23" t="s">
        <v>259</v>
      </c>
      <c r="J4524" s="23" t="s">
        <v>260</v>
      </c>
      <c r="K4524" s="23" t="s">
        <v>261</v>
      </c>
      <c r="O4524" s="4"/>
    </row>
    <row r="4525" spans="1:16" ht="1" customHeight="1" x14ac:dyDescent="0.35">
      <c r="B4525" s="24" t="s">
        <v>249</v>
      </c>
      <c r="C4525" s="25"/>
      <c r="D4525" s="25"/>
      <c r="E4525" s="25"/>
      <c r="F4525" s="25"/>
      <c r="G4525" s="25"/>
      <c r="H4525" s="25"/>
      <c r="I4525" s="25"/>
      <c r="J4525" s="25"/>
      <c r="K4525" s="25"/>
      <c r="O4525" t="e">
        <f>(O4523-3*O4522)/O4524</f>
        <v>#DIV/0!</v>
      </c>
    </row>
    <row r="4526" spans="1:16" ht="15.75" customHeight="1" x14ac:dyDescent="0.35">
      <c r="B4526" s="20" t="s">
        <v>250</v>
      </c>
      <c r="C4526" s="26">
        <v>0.25</v>
      </c>
      <c r="D4526" s="26">
        <v>0.3611111111111111</v>
      </c>
      <c r="E4526" s="26">
        <v>0.44444444444444442</v>
      </c>
      <c r="F4526" s="26">
        <f>E4526+'Lookup Tables'!$N$1</f>
        <v>0.46527777777777773</v>
      </c>
      <c r="G4526" s="26">
        <f>F4526+'Lookup Tables'!$N$1</f>
        <v>0.48611111111111105</v>
      </c>
      <c r="H4526" s="26">
        <f>G4526+'Lookup Tables'!$N$1</f>
        <v>0.50694444444444442</v>
      </c>
      <c r="I4526" s="26">
        <f>H4526+'Lookup Tables'!$N$1</f>
        <v>0.52777777777777779</v>
      </c>
      <c r="J4526" s="26">
        <f>I4526+'Lookup Tables'!$S$1</f>
        <v>0.53819444444444442</v>
      </c>
      <c r="K4526" s="26">
        <f>J4526+'Lookup Tables'!$S$1</f>
        <v>0.54861111111111105</v>
      </c>
      <c r="N4526">
        <f>MAX(F4523:M4523)-O4526</f>
        <v>27</v>
      </c>
      <c r="O4526" t="str">
        <f>RIGHT(E4523,3)</f>
        <v>371</v>
      </c>
    </row>
    <row r="4527" spans="1:16" ht="15.75" customHeight="1" x14ac:dyDescent="0.35">
      <c r="B4527" s="20" t="s">
        <v>251</v>
      </c>
      <c r="C4527" s="27">
        <v>0.2</v>
      </c>
      <c r="D4527" s="27">
        <v>0.5</v>
      </c>
      <c r="E4527" s="27"/>
      <c r="F4527" s="27"/>
      <c r="G4527" s="27"/>
      <c r="H4527" s="27"/>
      <c r="I4527" s="27"/>
      <c r="J4527" s="27"/>
      <c r="K4527" s="27"/>
      <c r="N4527" t="str">
        <f xml:space="preserve">  N4526 &amp; " degrees this time"</f>
        <v>27 degrees this time</v>
      </c>
    </row>
    <row r="4528" spans="1:16" ht="15.75" customHeight="1" x14ac:dyDescent="0.35">
      <c r="B4528" s="20" t="s">
        <v>252</v>
      </c>
      <c r="C4528" s="27">
        <v>0.9</v>
      </c>
      <c r="D4528" s="27">
        <v>0.8</v>
      </c>
      <c r="E4528" s="27">
        <v>0.5</v>
      </c>
      <c r="F4528" s="27"/>
      <c r="G4528" s="27"/>
      <c r="H4528" s="27"/>
      <c r="I4528" s="27"/>
      <c r="J4528" s="27"/>
      <c r="K4528" s="27"/>
    </row>
    <row r="4529" spans="1:16" ht="15.75" customHeight="1" x14ac:dyDescent="0.35">
      <c r="B4529" s="20"/>
      <c r="D4529" s="11"/>
      <c r="E4529" s="11"/>
      <c r="F4529" s="11"/>
      <c r="G4529" s="11"/>
      <c r="H4529" s="11"/>
      <c r="I4529" s="11"/>
      <c r="J4529" s="37"/>
      <c r="K4529" s="37"/>
      <c r="L4529" s="35"/>
    </row>
    <row r="4530" spans="1:16" ht="15.75" customHeight="1" x14ac:dyDescent="0.35">
      <c r="B4530" s="38"/>
      <c r="E4530" s="11"/>
      <c r="G4530" s="1" t="s">
        <v>317</v>
      </c>
      <c r="H4530" s="1"/>
      <c r="K4530" s="32" t="s">
        <v>546</v>
      </c>
      <c r="L4530" s="9"/>
      <c r="M4530" s="9"/>
    </row>
    <row r="4531" spans="1:16" ht="15.75" customHeight="1" x14ac:dyDescent="0.35">
      <c r="B4531" s="20"/>
      <c r="G4531" s="1"/>
      <c r="H4531" s="1"/>
      <c r="K4531" s="32"/>
      <c r="L4531" s="9"/>
      <c r="M4531" s="9"/>
    </row>
    <row r="4532" spans="1:16" ht="15.75" customHeight="1" x14ac:dyDescent="0.35">
      <c r="B4532" s="20"/>
      <c r="G4532" s="1"/>
      <c r="H4532" s="1"/>
      <c r="K4532" s="9" t="s">
        <v>300</v>
      </c>
      <c r="L4532" s="9"/>
      <c r="M4532" s="9"/>
    </row>
    <row r="4533" spans="1:16" ht="15.75" customHeight="1" x14ac:dyDescent="0.35">
      <c r="B4533" s="9"/>
      <c r="C4533" s="9"/>
      <c r="D4533" s="9"/>
      <c r="E4533" s="9"/>
      <c r="F4533" s="12"/>
      <c r="G4533" s="12"/>
      <c r="H4533" s="12"/>
      <c r="I4533" s="12"/>
      <c r="J4533" s="12"/>
      <c r="K4533" s="12"/>
      <c r="L4533" s="1"/>
    </row>
    <row r="4534" spans="1:16" ht="15.75" customHeight="1" x14ac:dyDescent="0.35">
      <c r="B4534" s="13"/>
      <c r="C4534" s="13"/>
      <c r="D4534" s="15"/>
      <c r="F4534" s="13"/>
      <c r="G4534" s="13"/>
      <c r="H4534" s="14"/>
      <c r="I4534" s="13"/>
      <c r="J4534" s="1"/>
    </row>
    <row r="4535" spans="1:16" x14ac:dyDescent="0.35">
      <c r="B4535" s="13" t="s">
        <v>5</v>
      </c>
      <c r="C4535" s="13" t="s">
        <v>1</v>
      </c>
      <c r="D4535" s="15" t="str">
        <f>VLOOKUP(A4536,Inventory!$A$4:$K$1139,7)</f>
        <v xml:space="preserve">GCBC                               </v>
      </c>
      <c r="F4535" s="13" t="s">
        <v>235</v>
      </c>
      <c r="G4535" s="16"/>
      <c r="L4535" s="17"/>
      <c r="M4535" s="17"/>
    </row>
    <row r="4536" spans="1:16" x14ac:dyDescent="0.35">
      <c r="A4536">
        <v>139</v>
      </c>
      <c r="B4536" s="5">
        <v>43875</v>
      </c>
      <c r="C4536" s="15" t="str">
        <f>VLOOKUP(A4536,Inventory!$A$4:$K$1139,2)</f>
        <v>Guatemala Huehuetenango El Injertal 2017</v>
      </c>
      <c r="E4536" s="11"/>
      <c r="F4536" s="34" t="s">
        <v>279</v>
      </c>
      <c r="G4536" s="2" t="s">
        <v>286</v>
      </c>
      <c r="L4536" s="17"/>
      <c r="M4536" s="17"/>
      <c r="P4536" s="8"/>
    </row>
    <row r="4537" spans="1:16" x14ac:dyDescent="0.35">
      <c r="B4537" s="13"/>
      <c r="C4537" s="13"/>
      <c r="D4537" s="11"/>
      <c r="F4537" s="13"/>
      <c r="G4537" s="16"/>
      <c r="I4537" s="1"/>
      <c r="L4537" s="19"/>
      <c r="M4537" s="19"/>
    </row>
    <row r="4538" spans="1:16" x14ac:dyDescent="0.35">
      <c r="B4538" s="20"/>
      <c r="C4538" s="11" t="s">
        <v>240</v>
      </c>
      <c r="D4538" s="11" t="s">
        <v>241</v>
      </c>
      <c r="E4538" s="11" t="s">
        <v>426</v>
      </c>
      <c r="F4538" s="11">
        <v>377</v>
      </c>
      <c r="G4538" s="11">
        <v>385</v>
      </c>
      <c r="H4538" s="11">
        <v>394</v>
      </c>
      <c r="I4538" s="11">
        <v>399</v>
      </c>
      <c r="J4538" s="11" t="s">
        <v>373</v>
      </c>
      <c r="K4538" s="11"/>
      <c r="L4538" s="28"/>
    </row>
    <row r="4539" spans="1:16" ht="15.75" customHeight="1" x14ac:dyDescent="0.35">
      <c r="B4539" s="20" t="s">
        <v>242</v>
      </c>
      <c r="C4539" s="30"/>
      <c r="D4539" s="30"/>
      <c r="E4539" s="23" t="s">
        <v>244</v>
      </c>
      <c r="F4539" s="23" t="s">
        <v>245</v>
      </c>
      <c r="G4539" s="23" t="s">
        <v>246</v>
      </c>
      <c r="H4539" s="23" t="s">
        <v>247</v>
      </c>
      <c r="I4539" s="23" t="s">
        <v>259</v>
      </c>
      <c r="O4539" s="4"/>
    </row>
    <row r="4540" spans="1:16" ht="1" customHeight="1" x14ac:dyDescent="0.35">
      <c r="B4540" s="24" t="s">
        <v>249</v>
      </c>
      <c r="C4540" s="25"/>
      <c r="D4540" s="25"/>
      <c r="E4540" s="25"/>
      <c r="F4540" s="25"/>
      <c r="G4540" s="25"/>
      <c r="H4540" s="25"/>
      <c r="I4540" s="25"/>
      <c r="O4540" t="e">
        <f>(O4538-3*O4537)/O4539</f>
        <v>#DIV/0!</v>
      </c>
    </row>
    <row r="4541" spans="1:16" ht="15.75" customHeight="1" x14ac:dyDescent="0.35">
      <c r="B4541" s="20" t="s">
        <v>250</v>
      </c>
      <c r="C4541" s="26">
        <v>0.23611111111111113</v>
      </c>
      <c r="D4541" s="26">
        <v>0.3263888888888889</v>
      </c>
      <c r="E4541" s="26">
        <v>0.4236111111111111</v>
      </c>
      <c r="F4541" s="26">
        <f>E4541+'Lookup Tables'!$N$1</f>
        <v>0.44444444444444442</v>
      </c>
      <c r="G4541" s="26">
        <f>F4541+'Lookup Tables'!$N$1</f>
        <v>0.46527777777777773</v>
      </c>
      <c r="H4541" s="26">
        <f>G4541+'Lookup Tables'!$N$1</f>
        <v>0.48611111111111105</v>
      </c>
      <c r="I4541" s="26">
        <f>H4541+'Lookup Tables'!$N$1</f>
        <v>0.50694444444444442</v>
      </c>
      <c r="N4541">
        <f>MAX(F4538:M4538)-O4541</f>
        <v>29</v>
      </c>
      <c r="O4541" t="str">
        <f>RIGHT(E4538,3)</f>
        <v>370</v>
      </c>
    </row>
    <row r="4542" spans="1:16" ht="15.75" customHeight="1" x14ac:dyDescent="0.35">
      <c r="B4542" s="20" t="s">
        <v>251</v>
      </c>
      <c r="C4542" s="27">
        <v>0.2</v>
      </c>
      <c r="D4542" s="27">
        <v>0.5</v>
      </c>
      <c r="E4542" s="27"/>
      <c r="F4542" s="27"/>
      <c r="G4542" s="27"/>
      <c r="H4542" s="27"/>
      <c r="I4542" s="27"/>
      <c r="N4542" t="str">
        <f xml:space="preserve">  N4541 &amp; " degrees this time"</f>
        <v>29 degrees this time</v>
      </c>
    </row>
    <row r="4543" spans="1:16" ht="15.75" customHeight="1" x14ac:dyDescent="0.35">
      <c r="B4543" s="20" t="s">
        <v>252</v>
      </c>
      <c r="C4543" s="27">
        <v>0.9</v>
      </c>
      <c r="D4543" s="27">
        <v>0.8</v>
      </c>
      <c r="E4543" s="27">
        <v>0.7</v>
      </c>
      <c r="F4543" s="27"/>
      <c r="G4543" s="27">
        <v>0.6</v>
      </c>
      <c r="H4543" s="27">
        <v>0.4</v>
      </c>
      <c r="I4543" s="27" t="s">
        <v>275</v>
      </c>
    </row>
    <row r="4544" spans="1:16" ht="15.75" customHeight="1" x14ac:dyDescent="0.35">
      <c r="B4544" s="20"/>
      <c r="D4544" s="11"/>
      <c r="E4544" s="11"/>
      <c r="F4544" s="11"/>
      <c r="G4544" s="40"/>
      <c r="H4544" s="11"/>
      <c r="I4544" s="11"/>
      <c r="J4544" s="37"/>
    </row>
    <row r="4545" spans="1:16" ht="15.75" customHeight="1" x14ac:dyDescent="0.35">
      <c r="B4545" s="38"/>
      <c r="G4545" s="1" t="s">
        <v>492</v>
      </c>
      <c r="H4545" s="1"/>
      <c r="K4545" s="9" t="s">
        <v>510</v>
      </c>
      <c r="L4545" s="9"/>
      <c r="M4545" s="9"/>
    </row>
    <row r="4546" spans="1:16" ht="15.75" customHeight="1" x14ac:dyDescent="0.35">
      <c r="B4546" s="20"/>
      <c r="G4546" s="1"/>
      <c r="H4546" s="1"/>
      <c r="K4546" s="32"/>
      <c r="L4546" s="9"/>
      <c r="M4546" s="9"/>
    </row>
    <row r="4547" spans="1:16" ht="15.75" customHeight="1" x14ac:dyDescent="0.35">
      <c r="B4547" s="20"/>
      <c r="G4547" s="1"/>
      <c r="H4547" s="1"/>
      <c r="K4547" s="9" t="s">
        <v>300</v>
      </c>
      <c r="L4547" s="9"/>
      <c r="M4547" s="9"/>
    </row>
    <row r="4548" spans="1:16" ht="15.75" customHeight="1" x14ac:dyDescent="0.35">
      <c r="B4548" s="9"/>
      <c r="C4548" s="9"/>
      <c r="D4548" s="9"/>
      <c r="E4548" s="9"/>
      <c r="F4548" s="12"/>
      <c r="G4548" s="12"/>
      <c r="H4548" s="12"/>
      <c r="I4548" s="12"/>
      <c r="J4548" s="12"/>
      <c r="K4548" s="12"/>
      <c r="L4548" s="1"/>
    </row>
    <row r="4549" spans="1:16" ht="15.75" customHeight="1" x14ac:dyDescent="0.35">
      <c r="B4549" s="13"/>
      <c r="C4549" s="13"/>
      <c r="D4549" s="13"/>
      <c r="E4549" s="13"/>
      <c r="F4549" s="13"/>
      <c r="G4549" s="13"/>
      <c r="H4549" s="14" t="s">
        <v>255</v>
      </c>
      <c r="I4549" s="13"/>
    </row>
    <row r="4550" spans="1:16" x14ac:dyDescent="0.35">
      <c r="B4550" s="13" t="s">
        <v>5</v>
      </c>
      <c r="C4550" s="13" t="s">
        <v>1</v>
      </c>
      <c r="D4550" s="15" t="str">
        <f>VLOOKUP(A4551,Inventory!$A$4:$K$1139,7)</f>
        <v xml:space="preserve">GCBC                               </v>
      </c>
      <c r="F4550" s="13" t="s">
        <v>235</v>
      </c>
      <c r="G4550" s="16"/>
      <c r="L4550" s="17"/>
      <c r="M4550" s="17"/>
    </row>
    <row r="4551" spans="1:16" x14ac:dyDescent="0.35">
      <c r="A4551">
        <v>143</v>
      </c>
      <c r="B4551" s="5">
        <v>43875</v>
      </c>
      <c r="C4551" s="15" t="str">
        <f>VLOOKUP(A4551,Inventory!$A$4:$K$1139,2)</f>
        <v>Myanmar Shwe Padauk (GP) 2017</v>
      </c>
      <c r="E4551" s="11"/>
      <c r="F4551" s="31" t="s">
        <v>291</v>
      </c>
      <c r="G4551" s="2" t="s">
        <v>286</v>
      </c>
      <c r="L4551" s="17"/>
      <c r="M4551" s="17"/>
      <c r="P4551" s="8"/>
    </row>
    <row r="4552" spans="1:16" x14ac:dyDescent="0.35">
      <c r="D4552" s="11"/>
      <c r="E4552" s="11"/>
      <c r="G4552" s="16"/>
      <c r="L4552" s="19"/>
      <c r="M4552" s="19"/>
    </row>
    <row r="4553" spans="1:16" x14ac:dyDescent="0.35">
      <c r="B4553" s="20"/>
      <c r="C4553" s="11" t="s">
        <v>240</v>
      </c>
      <c r="D4553" s="11" t="s">
        <v>272</v>
      </c>
      <c r="E4553" s="11" t="s">
        <v>319</v>
      </c>
      <c r="F4553" s="11">
        <v>379</v>
      </c>
      <c r="G4553" s="11">
        <v>386</v>
      </c>
      <c r="H4553" s="11">
        <v>396</v>
      </c>
      <c r="I4553" s="11" t="s">
        <v>312</v>
      </c>
      <c r="J4553" s="11"/>
      <c r="K4553" s="11"/>
      <c r="L4553" s="28"/>
    </row>
    <row r="4554" spans="1:16" ht="15.75" customHeight="1" x14ac:dyDescent="0.35">
      <c r="B4554" s="20" t="s">
        <v>242</v>
      </c>
      <c r="C4554" s="21"/>
      <c r="D4554" s="22" t="s">
        <v>294</v>
      </c>
      <c r="E4554" s="23" t="s">
        <v>244</v>
      </c>
      <c r="F4554" s="23" t="s">
        <v>245</v>
      </c>
      <c r="G4554" s="23" t="s">
        <v>246</v>
      </c>
      <c r="H4554" s="23" t="s">
        <v>247</v>
      </c>
      <c r="I4554" s="23" t="s">
        <v>248</v>
      </c>
      <c r="O4554" s="4"/>
    </row>
    <row r="4555" spans="1:16" ht="1" customHeight="1" x14ac:dyDescent="0.35">
      <c r="B4555" s="24" t="s">
        <v>249</v>
      </c>
      <c r="C4555" s="25"/>
      <c r="D4555" s="25"/>
      <c r="E4555" s="25"/>
      <c r="F4555" s="25"/>
      <c r="G4555" s="25"/>
      <c r="H4555" s="25"/>
      <c r="I4555" s="25"/>
      <c r="O4555" t="e">
        <f>(O4553-3*O4552)/O4554</f>
        <v>#DIV/0!</v>
      </c>
    </row>
    <row r="4556" spans="1:16" ht="15.75" customHeight="1" x14ac:dyDescent="0.35">
      <c r="B4556" s="20" t="s">
        <v>250</v>
      </c>
      <c r="C4556" s="26">
        <v>0.17708333333333334</v>
      </c>
      <c r="D4556" s="26">
        <v>0.26041666666666669</v>
      </c>
      <c r="E4556" s="26">
        <v>0.35416666666666669</v>
      </c>
      <c r="F4556" s="26">
        <f>E4556+'Lookup Tables'!$N$1</f>
        <v>0.375</v>
      </c>
      <c r="G4556" s="26">
        <f>F4556+'Lookup Tables'!$N$1</f>
        <v>0.39583333333333331</v>
      </c>
      <c r="H4556" s="26">
        <f>G4556+'Lookup Tables'!$N$1</f>
        <v>0.41666666666666663</v>
      </c>
      <c r="I4556" s="26">
        <f>H4556+'Lookup Tables'!$S$1</f>
        <v>0.42708333333333331</v>
      </c>
      <c r="N4556">
        <f>MAX(F4553:M4553)-O4556</f>
        <v>23</v>
      </c>
      <c r="O4556" t="str">
        <f>RIGHT(E4553,3)</f>
        <v>373</v>
      </c>
    </row>
    <row r="4557" spans="1:16" ht="15.75" customHeight="1" x14ac:dyDescent="0.35">
      <c r="B4557" s="20" t="s">
        <v>251</v>
      </c>
      <c r="C4557" s="27">
        <v>0.2</v>
      </c>
      <c r="D4557" s="27">
        <v>0.5</v>
      </c>
      <c r="E4557" s="27"/>
      <c r="F4557" s="27"/>
      <c r="G4557" s="27" t="s">
        <v>274</v>
      </c>
      <c r="H4557" s="27"/>
      <c r="I4557" s="25"/>
      <c r="N4557" t="str">
        <f xml:space="preserve">  N4556 &amp; " degrees this time"</f>
        <v>23 degrees this time</v>
      </c>
    </row>
    <row r="4558" spans="1:16" ht="15.75" customHeight="1" x14ac:dyDescent="0.35">
      <c r="B4558" s="20" t="s">
        <v>252</v>
      </c>
      <c r="C4558" s="27">
        <v>0.9</v>
      </c>
      <c r="D4558" s="27">
        <v>0.8</v>
      </c>
      <c r="E4558" s="27">
        <v>0.6</v>
      </c>
      <c r="F4558" s="27"/>
      <c r="G4558" s="27" t="s">
        <v>274</v>
      </c>
      <c r="H4558" s="27"/>
      <c r="I4558" s="27" t="s">
        <v>275</v>
      </c>
    </row>
    <row r="4559" spans="1:16" ht="15.75" customHeight="1" x14ac:dyDescent="0.35">
      <c r="B4559" s="20"/>
      <c r="D4559" s="11"/>
      <c r="E4559" s="11"/>
      <c r="F4559" s="11"/>
      <c r="H4559" s="35"/>
    </row>
    <row r="4560" spans="1:16" ht="15.75" customHeight="1" x14ac:dyDescent="0.35">
      <c r="B4560" s="20"/>
      <c r="G4560" s="1" t="s">
        <v>533</v>
      </c>
      <c r="K4560" s="9" t="s">
        <v>534</v>
      </c>
      <c r="L4560" s="9"/>
      <c r="M4560" s="9"/>
    </row>
    <row r="4561" spans="1:16" ht="15.75" customHeight="1" x14ac:dyDescent="0.35">
      <c r="B4561" s="20"/>
      <c r="G4561" s="1"/>
      <c r="H4561" s="1"/>
      <c r="K4561" s="9"/>
      <c r="L4561" s="9"/>
      <c r="M4561" s="9"/>
    </row>
    <row r="4562" spans="1:16" ht="15.75" customHeight="1" x14ac:dyDescent="0.35">
      <c r="B4562" s="20"/>
      <c r="G4562" s="1"/>
      <c r="H4562" s="1"/>
      <c r="K4562" s="9" t="s">
        <v>254</v>
      </c>
      <c r="L4562" s="9"/>
      <c r="M4562" s="9"/>
    </row>
    <row r="4563" spans="1:16" ht="15.75" customHeight="1" x14ac:dyDescent="0.35">
      <c r="B4563" s="9"/>
      <c r="C4563" s="9"/>
      <c r="D4563" s="9"/>
      <c r="E4563" s="9"/>
      <c r="F4563" s="12"/>
      <c r="G4563" s="12"/>
      <c r="H4563" s="12"/>
      <c r="I4563" s="12"/>
      <c r="J4563" s="12"/>
      <c r="K4563" s="12"/>
      <c r="L4563" s="1"/>
    </row>
    <row r="4564" spans="1:16" ht="15.75" customHeight="1" x14ac:dyDescent="0.35">
      <c r="B4564" s="13"/>
      <c r="C4564" s="13"/>
      <c r="D4564" s="13"/>
      <c r="E4564" s="13"/>
      <c r="F4564" s="13"/>
      <c r="G4564" s="13"/>
      <c r="H4564" s="14" t="s">
        <v>255</v>
      </c>
      <c r="I4564" s="13"/>
    </row>
    <row r="4565" spans="1:16" x14ac:dyDescent="0.35">
      <c r="B4565" s="13" t="s">
        <v>5</v>
      </c>
      <c r="C4565" s="13" t="s">
        <v>1</v>
      </c>
      <c r="D4565" s="15" t="str">
        <f>VLOOKUP(A4566,Inventory!$A$4:$K$1139,7)</f>
        <v>Leverhead Coffee</v>
      </c>
      <c r="F4565" s="13" t="s">
        <v>235</v>
      </c>
      <c r="G4565" s="16"/>
      <c r="L4565" s="17"/>
      <c r="M4565" s="17"/>
    </row>
    <row r="4566" spans="1:16" x14ac:dyDescent="0.35">
      <c r="A4566">
        <v>137</v>
      </c>
      <c r="B4566" s="5">
        <v>43875</v>
      </c>
      <c r="C4566" s="15" t="str">
        <f>VLOOKUP(A4566,Inventory!$A$4:$K$1139,2)</f>
        <v>Colombia Cauca 2017</v>
      </c>
      <c r="E4566" s="11"/>
      <c r="F4566" s="31" t="s">
        <v>291</v>
      </c>
      <c r="G4566" s="2" t="s">
        <v>286</v>
      </c>
      <c r="L4566" s="17"/>
      <c r="M4566" s="17"/>
      <c r="P4566" s="8"/>
    </row>
    <row r="4567" spans="1:16" x14ac:dyDescent="0.35">
      <c r="D4567" s="11"/>
      <c r="E4567" s="11"/>
      <c r="G4567" s="16"/>
      <c r="L4567" s="19"/>
      <c r="M4567" s="19"/>
    </row>
    <row r="4568" spans="1:16" x14ac:dyDescent="0.35">
      <c r="B4568" s="20"/>
      <c r="C4568" s="11" t="s">
        <v>240</v>
      </c>
      <c r="D4568" s="11" t="s">
        <v>272</v>
      </c>
      <c r="E4568" s="11" t="s">
        <v>319</v>
      </c>
      <c r="F4568" s="11">
        <v>379</v>
      </c>
      <c r="G4568" s="11">
        <v>386</v>
      </c>
      <c r="H4568" s="11">
        <v>393</v>
      </c>
      <c r="I4568" s="11">
        <v>399</v>
      </c>
      <c r="J4568" s="11"/>
      <c r="K4568" s="11"/>
      <c r="L4568" s="28"/>
    </row>
    <row r="4569" spans="1:16" ht="15.75" customHeight="1" x14ac:dyDescent="0.35">
      <c r="B4569" s="20" t="s">
        <v>242</v>
      </c>
      <c r="C4569" s="30"/>
      <c r="D4569" s="30"/>
      <c r="E4569" s="23" t="s">
        <v>244</v>
      </c>
      <c r="F4569" s="23" t="s">
        <v>245</v>
      </c>
      <c r="G4569" s="23" t="s">
        <v>246</v>
      </c>
      <c r="H4569" s="23" t="s">
        <v>247</v>
      </c>
      <c r="I4569" s="23" t="s">
        <v>248</v>
      </c>
      <c r="O4569" s="4"/>
    </row>
    <row r="4570" spans="1:16" ht="1" customHeight="1" x14ac:dyDescent="0.35">
      <c r="B4570" s="24" t="s">
        <v>249</v>
      </c>
      <c r="C4570" s="25"/>
      <c r="D4570" s="25"/>
      <c r="E4570" s="25"/>
      <c r="F4570" s="25"/>
      <c r="G4570" s="25"/>
      <c r="H4570" s="25"/>
      <c r="I4570" s="25"/>
      <c r="O4570" t="e">
        <f>(O4568-3*O4567)/O4569</f>
        <v>#DIV/0!</v>
      </c>
    </row>
    <row r="4571" spans="1:16" ht="15.75" customHeight="1" x14ac:dyDescent="0.35">
      <c r="B4571" s="20" t="s">
        <v>250</v>
      </c>
      <c r="C4571" s="26">
        <v>0.19444444444444445</v>
      </c>
      <c r="D4571" s="26">
        <v>0.28125</v>
      </c>
      <c r="E4571" s="26">
        <v>0.375</v>
      </c>
      <c r="F4571" s="26">
        <f>E4571+'Lookup Tables'!$N$1</f>
        <v>0.39583333333333331</v>
      </c>
      <c r="G4571" s="26">
        <f>F4571+'Lookup Tables'!$N$1</f>
        <v>0.41666666666666663</v>
      </c>
      <c r="H4571" s="26">
        <f>G4571+'Lookup Tables'!$N$1</f>
        <v>0.43749999999999994</v>
      </c>
      <c r="I4571" s="26">
        <f>H4571+'Lookup Tables'!$S$1</f>
        <v>0.44791666666666663</v>
      </c>
      <c r="N4571">
        <f>MAX(F4568:M4568)-O4571</f>
        <v>26</v>
      </c>
      <c r="O4571" t="str">
        <f>RIGHT(E4568,3)</f>
        <v>373</v>
      </c>
    </row>
    <row r="4572" spans="1:16" ht="15.75" customHeight="1" x14ac:dyDescent="0.35">
      <c r="B4572" s="20" t="s">
        <v>251</v>
      </c>
      <c r="C4572" s="27">
        <v>0.2</v>
      </c>
      <c r="D4572" s="27">
        <v>0.5</v>
      </c>
      <c r="E4572" s="27"/>
      <c r="F4572" s="27"/>
      <c r="G4572" s="27"/>
      <c r="H4572" s="27"/>
      <c r="I4572" s="25"/>
      <c r="N4572" t="str">
        <f xml:space="preserve">  N4571 &amp; " degrees this time"</f>
        <v>26 degrees this time</v>
      </c>
    </row>
    <row r="4573" spans="1:16" ht="15.75" customHeight="1" x14ac:dyDescent="0.35">
      <c r="B4573" s="20" t="s">
        <v>252</v>
      </c>
      <c r="C4573" s="27">
        <v>0.9</v>
      </c>
      <c r="D4573" s="27">
        <v>0.8</v>
      </c>
      <c r="E4573" s="27">
        <v>0.7</v>
      </c>
      <c r="F4573" s="27">
        <v>0.6</v>
      </c>
      <c r="G4573" s="27"/>
      <c r="H4573" s="27"/>
      <c r="I4573" s="27" t="s">
        <v>275</v>
      </c>
    </row>
    <row r="4574" spans="1:16" ht="15.75" customHeight="1" x14ac:dyDescent="0.35">
      <c r="B4574" s="20"/>
      <c r="D4574" s="11"/>
      <c r="E4574" s="11"/>
      <c r="F4574" s="11"/>
      <c r="G4574" s="11"/>
      <c r="H4574" s="35"/>
    </row>
    <row r="4575" spans="1:16" ht="15.75" customHeight="1" x14ac:dyDescent="0.35">
      <c r="B4575" s="20"/>
      <c r="G4575" s="1" t="s">
        <v>331</v>
      </c>
      <c r="K4575" s="9" t="s">
        <v>511</v>
      </c>
      <c r="L4575" s="9"/>
      <c r="M4575" s="9"/>
    </row>
    <row r="4576" spans="1:16" ht="15.75" customHeight="1" x14ac:dyDescent="0.35">
      <c r="B4576" s="30"/>
      <c r="G4576" s="1"/>
      <c r="H4576" s="1"/>
      <c r="K4576" s="9"/>
      <c r="L4576" s="9"/>
      <c r="M4576" s="9"/>
    </row>
    <row r="4577" spans="1:16" ht="15.75" customHeight="1" x14ac:dyDescent="0.35">
      <c r="B4577" s="30"/>
      <c r="G4577" s="1"/>
      <c r="H4577" s="1"/>
      <c r="K4577" s="9" t="s">
        <v>300</v>
      </c>
      <c r="L4577" s="9"/>
      <c r="M4577" s="9"/>
    </row>
    <row r="4578" spans="1:16" ht="15.75" customHeight="1" x14ac:dyDescent="0.35">
      <c r="B4578" s="9"/>
      <c r="C4578" s="9"/>
      <c r="D4578" s="9"/>
      <c r="E4578" s="9"/>
      <c r="F4578" s="12"/>
      <c r="G4578" s="12"/>
      <c r="H4578" s="12"/>
      <c r="I4578" s="12"/>
      <c r="J4578" s="12"/>
      <c r="K4578" s="12"/>
      <c r="L4578" s="1"/>
    </row>
    <row r="4579" spans="1:16" ht="15.75" customHeight="1" x14ac:dyDescent="0.35">
      <c r="B4579" s="13"/>
      <c r="C4579" s="13"/>
      <c r="D4579" s="15"/>
      <c r="G4579" s="16"/>
      <c r="H4579" s="14" t="s">
        <v>255</v>
      </c>
    </row>
    <row r="4580" spans="1:16" x14ac:dyDescent="0.35">
      <c r="B4580" s="13" t="s">
        <v>5</v>
      </c>
      <c r="C4580" s="13" t="s">
        <v>1</v>
      </c>
      <c r="D4580" s="15" t="str">
        <f>VLOOKUP(A4581,Inventory!$A$4:$K$1139,7)</f>
        <v>Leverhead Coffee</v>
      </c>
      <c r="F4580" s="13" t="s">
        <v>235</v>
      </c>
      <c r="G4580" s="16"/>
      <c r="L4580" s="17"/>
      <c r="M4580" s="17"/>
    </row>
    <row r="4581" spans="1:16" x14ac:dyDescent="0.35">
      <c r="A4581">
        <v>144</v>
      </c>
      <c r="B4581" s="5">
        <v>43871</v>
      </c>
      <c r="C4581" s="15" t="str">
        <f>VLOOKUP(A4581,Inventory!$A$4:$K$1139,2)</f>
        <v>Rwanda Abakundakawa 2018</v>
      </c>
      <c r="F4581" s="31" t="s">
        <v>291</v>
      </c>
      <c r="G4581" s="2" t="s">
        <v>270</v>
      </c>
      <c r="L4581" s="17"/>
      <c r="M4581" s="17"/>
      <c r="P4581" s="8"/>
    </row>
    <row r="4582" spans="1:16" x14ac:dyDescent="0.35">
      <c r="L4582" s="19"/>
      <c r="M4582" s="19"/>
    </row>
    <row r="4583" spans="1:16" x14ac:dyDescent="0.35">
      <c r="B4583" s="20"/>
      <c r="C4583" s="11" t="s">
        <v>240</v>
      </c>
      <c r="D4583" s="11" t="s">
        <v>272</v>
      </c>
      <c r="E4583" s="11" t="s">
        <v>425</v>
      </c>
      <c r="F4583" s="11">
        <v>381</v>
      </c>
      <c r="G4583" s="11">
        <v>387</v>
      </c>
      <c r="H4583" s="11">
        <v>396</v>
      </c>
      <c r="I4583" s="11">
        <v>403</v>
      </c>
      <c r="J4583" s="11" t="s">
        <v>373</v>
      </c>
      <c r="K4583" s="11"/>
      <c r="L4583" s="28"/>
    </row>
    <row r="4584" spans="1:16" ht="15.75" customHeight="1" x14ac:dyDescent="0.35">
      <c r="A4584" t="s">
        <v>16</v>
      </c>
      <c r="B4584" s="20" t="s">
        <v>242</v>
      </c>
      <c r="C4584" s="30"/>
      <c r="D4584" s="30"/>
      <c r="E4584" s="23" t="s">
        <v>244</v>
      </c>
      <c r="F4584" s="23" t="s">
        <v>245</v>
      </c>
      <c r="G4584" s="23" t="s">
        <v>246</v>
      </c>
      <c r="H4584" s="23" t="s">
        <v>247</v>
      </c>
      <c r="I4584" s="23" t="s">
        <v>259</v>
      </c>
      <c r="J4584" s="23" t="s">
        <v>260</v>
      </c>
      <c r="O4584" s="4"/>
    </row>
    <row r="4585" spans="1:16" ht="1" customHeight="1" x14ac:dyDescent="0.35">
      <c r="B4585" s="24" t="s">
        <v>249</v>
      </c>
      <c r="C4585" s="25"/>
      <c r="D4585" s="25"/>
      <c r="E4585" s="25">
        <v>388</v>
      </c>
      <c r="F4585" s="25">
        <v>393</v>
      </c>
      <c r="G4585" s="25">
        <v>397</v>
      </c>
      <c r="H4585" s="25">
        <v>401</v>
      </c>
      <c r="I4585" s="25"/>
      <c r="K4585" t="s">
        <v>280</v>
      </c>
      <c r="L4585" t="s">
        <v>280</v>
      </c>
      <c r="O4585" t="e">
        <f>(O4583-3*O4582)/O4584</f>
        <v>#DIV/0!</v>
      </c>
    </row>
    <row r="4586" spans="1:16" ht="15.75" customHeight="1" x14ac:dyDescent="0.35">
      <c r="B4586" s="20" t="s">
        <v>250</v>
      </c>
      <c r="C4586" s="26">
        <v>0.20833333333333334</v>
      </c>
      <c r="D4586" s="26">
        <v>0.2951388888888889</v>
      </c>
      <c r="E4586" s="26">
        <v>0.39930555555555558</v>
      </c>
      <c r="F4586" s="26">
        <f>E4586+'Lookup Tables'!$N$1</f>
        <v>0.4201388888888889</v>
      </c>
      <c r="G4586" s="26">
        <f>F4586+'Lookup Tables'!$N$1</f>
        <v>0.44097222222222221</v>
      </c>
      <c r="H4586" s="26">
        <f>G4586+'Lookup Tables'!$N$1</f>
        <v>0.46180555555555552</v>
      </c>
      <c r="I4586" s="26">
        <f>H4586+'Lookup Tables'!$N$1</f>
        <v>0.48263888888888884</v>
      </c>
      <c r="J4586" s="26">
        <f>I4586+'Lookup Tables'!$M$1</f>
        <v>0.49305555555555552</v>
      </c>
      <c r="N4586">
        <f>MAX(F4583:M4583)-O4586</f>
        <v>27</v>
      </c>
      <c r="O4586" t="str">
        <f>RIGHT(E4583,3)</f>
        <v>376</v>
      </c>
    </row>
    <row r="4587" spans="1:16" ht="15.75" customHeight="1" x14ac:dyDescent="0.35">
      <c r="B4587" s="20" t="s">
        <v>251</v>
      </c>
      <c r="C4587" s="27">
        <v>0.2</v>
      </c>
      <c r="D4587" s="27">
        <v>0.5</v>
      </c>
      <c r="E4587" s="27"/>
      <c r="F4587" s="27"/>
      <c r="G4587" s="27" t="s">
        <v>274</v>
      </c>
      <c r="H4587" s="27"/>
      <c r="I4587" s="27"/>
      <c r="J4587" s="27"/>
      <c r="N4587" t="str">
        <f xml:space="preserve">  N4586 &amp; " degrees this time"</f>
        <v>27 degrees this time</v>
      </c>
    </row>
    <row r="4588" spans="1:16" ht="15.75" customHeight="1" x14ac:dyDescent="0.35">
      <c r="B4588" s="20" t="s">
        <v>252</v>
      </c>
      <c r="C4588" s="27">
        <v>0.9</v>
      </c>
      <c r="D4588" s="27">
        <v>0.8</v>
      </c>
      <c r="E4588" s="27">
        <v>0.5</v>
      </c>
      <c r="F4588" s="27">
        <v>0.3</v>
      </c>
      <c r="G4588" s="27" t="s">
        <v>274</v>
      </c>
      <c r="H4588" s="27"/>
      <c r="I4588" s="27"/>
      <c r="J4588" s="27" t="s">
        <v>275</v>
      </c>
    </row>
    <row r="4589" spans="1:16" ht="15.75" customHeight="1" x14ac:dyDescent="0.35">
      <c r="B4589" s="20"/>
      <c r="C4589" s="30"/>
      <c r="D4589" s="11"/>
      <c r="E4589" s="11"/>
      <c r="F4589" s="11"/>
      <c r="H4589" s="2"/>
      <c r="J4589" s="35"/>
      <c r="K4589" s="35"/>
    </row>
    <row r="4590" spans="1:16" ht="15.75" customHeight="1" x14ac:dyDescent="0.35">
      <c r="G4590" s="1" t="s">
        <v>418</v>
      </c>
      <c r="K4590" s="9" t="s">
        <v>524</v>
      </c>
      <c r="L4590" s="9"/>
      <c r="M4590" s="9"/>
    </row>
    <row r="4591" spans="1:16" ht="15.75" customHeight="1" x14ac:dyDescent="0.35">
      <c r="B4591" s="20"/>
      <c r="G4591" s="1"/>
      <c r="H4591" s="1"/>
      <c r="K4591" s="9" t="s">
        <v>547</v>
      </c>
      <c r="L4591" s="9"/>
      <c r="M4591" s="9"/>
    </row>
    <row r="4592" spans="1:16" ht="15.75" customHeight="1" x14ac:dyDescent="0.35">
      <c r="B4592" s="20"/>
      <c r="G4592" s="1"/>
      <c r="H4592" s="1"/>
      <c r="K4592" s="32" t="s">
        <v>539</v>
      </c>
      <c r="L4592" s="9"/>
      <c r="M4592" s="9"/>
    </row>
    <row r="4593" spans="1:16" ht="15.75" customHeight="1" x14ac:dyDescent="0.35">
      <c r="B4593" s="9"/>
      <c r="C4593" s="9"/>
      <c r="D4593" s="9"/>
      <c r="E4593" s="9"/>
      <c r="F4593" s="12"/>
      <c r="G4593" s="12"/>
      <c r="H4593" s="12"/>
      <c r="I4593" s="12"/>
      <c r="J4593" s="12"/>
      <c r="K4593" s="12"/>
      <c r="L4593" s="1"/>
    </row>
    <row r="4594" spans="1:16" ht="15.75" customHeight="1" x14ac:dyDescent="0.35">
      <c r="B4594" s="13"/>
      <c r="C4594" s="13"/>
      <c r="D4594" s="13"/>
      <c r="E4594" s="13"/>
      <c r="F4594" s="33" t="s">
        <v>326</v>
      </c>
      <c r="G4594" s="13"/>
      <c r="H4594" s="13"/>
      <c r="I4594" s="13"/>
    </row>
    <row r="4595" spans="1:16" x14ac:dyDescent="0.35">
      <c r="B4595" s="13" t="s">
        <v>5</v>
      </c>
      <c r="C4595" s="13" t="s">
        <v>1</v>
      </c>
      <c r="D4595" s="15" t="str">
        <f>VLOOKUP(A4596,Inventory!$A$4:$K$1139,7)</f>
        <v>Royal coffee</v>
      </c>
      <c r="F4595" s="13" t="s">
        <v>235</v>
      </c>
      <c r="G4595" s="16"/>
      <c r="L4595" s="17"/>
      <c r="M4595" s="17"/>
    </row>
    <row r="4596" spans="1:16" x14ac:dyDescent="0.35">
      <c r="A4596">
        <v>142</v>
      </c>
      <c r="B4596" s="5">
        <v>43871</v>
      </c>
      <c r="C4596" s="15" t="str">
        <f>VLOOKUP(A4596,Inventory!$A$4:$K$1139,2)</f>
        <v>Nicaragua Pueblo Nuevo Donal Canales 2017</v>
      </c>
      <c r="E4596" s="11"/>
      <c r="F4596" s="34" t="s">
        <v>279</v>
      </c>
      <c r="G4596" s="2" t="s">
        <v>286</v>
      </c>
      <c r="L4596" s="17"/>
      <c r="M4596" s="17"/>
      <c r="P4596" s="8"/>
    </row>
    <row r="4597" spans="1:16" x14ac:dyDescent="0.35">
      <c r="D4597" s="11"/>
      <c r="E4597" s="11"/>
      <c r="G4597" s="16"/>
      <c r="L4597" s="19"/>
      <c r="M4597" s="19"/>
    </row>
    <row r="4598" spans="1:16" x14ac:dyDescent="0.35">
      <c r="B4598" s="20"/>
      <c r="C4598" s="11" t="s">
        <v>240</v>
      </c>
      <c r="D4598" s="11" t="s">
        <v>395</v>
      </c>
      <c r="E4598" s="11" t="s">
        <v>451</v>
      </c>
      <c r="F4598" s="11">
        <v>370</v>
      </c>
      <c r="G4598" s="11">
        <v>376</v>
      </c>
      <c r="H4598" s="11">
        <v>383</v>
      </c>
      <c r="I4598" s="11">
        <v>387</v>
      </c>
      <c r="J4598" s="11" t="s">
        <v>548</v>
      </c>
      <c r="K4598" s="11"/>
      <c r="L4598" s="28"/>
    </row>
    <row r="4599" spans="1:16" ht="15.75" customHeight="1" x14ac:dyDescent="0.35">
      <c r="B4599" s="20" t="s">
        <v>242</v>
      </c>
      <c r="C4599" s="21"/>
      <c r="D4599" s="22" t="s">
        <v>442</v>
      </c>
      <c r="E4599" s="23" t="s">
        <v>244</v>
      </c>
      <c r="F4599" s="23" t="s">
        <v>245</v>
      </c>
      <c r="G4599" s="23" t="s">
        <v>246</v>
      </c>
      <c r="H4599" s="23" t="s">
        <v>247</v>
      </c>
      <c r="I4599" s="23" t="s">
        <v>248</v>
      </c>
      <c r="J4599" s="23" t="s">
        <v>259</v>
      </c>
      <c r="O4599" s="4"/>
    </row>
    <row r="4600" spans="1:16" ht="1" customHeight="1" x14ac:dyDescent="0.35">
      <c r="B4600" s="24" t="s">
        <v>249</v>
      </c>
      <c r="C4600" s="25"/>
      <c r="D4600" s="25"/>
      <c r="E4600" s="25"/>
      <c r="F4600" s="25"/>
      <c r="G4600" s="25"/>
      <c r="H4600" s="25"/>
      <c r="I4600" s="25"/>
      <c r="J4600" s="25"/>
      <c r="O4600" t="e">
        <f>(O4598-3*O4597)/O4599</f>
        <v>#DIV/0!</v>
      </c>
    </row>
    <row r="4601" spans="1:16" ht="15.75" customHeight="1" x14ac:dyDescent="0.35">
      <c r="B4601" s="20" t="s">
        <v>250</v>
      </c>
      <c r="C4601" s="26">
        <v>0.23958333333333334</v>
      </c>
      <c r="D4601" s="26">
        <v>0.3125</v>
      </c>
      <c r="E4601" s="26">
        <v>0.41666666666666669</v>
      </c>
      <c r="F4601" s="26">
        <f>E4601+'Lookup Tables'!$N$1</f>
        <v>0.4375</v>
      </c>
      <c r="G4601" s="26">
        <f>F4601+'Lookup Tables'!$N$1</f>
        <v>0.45833333333333331</v>
      </c>
      <c r="H4601" s="26">
        <f>G4601+'Lookup Tables'!$N$1</f>
        <v>0.47916666666666663</v>
      </c>
      <c r="I4601" s="26">
        <f>H4601+'Lookup Tables'!$S$1</f>
        <v>0.48958333333333331</v>
      </c>
      <c r="J4601" s="26">
        <f>I4601+'Lookup Tables'!$S$1</f>
        <v>0.5</v>
      </c>
      <c r="N4601">
        <f>MAX(F4598:M4598)-O4601</f>
        <v>22</v>
      </c>
      <c r="O4601" t="str">
        <f>RIGHT(E4598,3)</f>
        <v>365</v>
      </c>
    </row>
    <row r="4602" spans="1:16" ht="15.75" customHeight="1" x14ac:dyDescent="0.35">
      <c r="B4602" s="20" t="s">
        <v>251</v>
      </c>
      <c r="C4602" s="27">
        <v>0.2</v>
      </c>
      <c r="D4602" s="27">
        <v>0.5</v>
      </c>
      <c r="E4602" s="27"/>
      <c r="F4602" s="27"/>
      <c r="G4602" s="27" t="s">
        <v>274</v>
      </c>
      <c r="H4602" s="27"/>
      <c r="I4602" s="25"/>
      <c r="J4602" s="25"/>
      <c r="N4602" t="str">
        <f xml:space="preserve">  N4601 &amp; " degrees this time"</f>
        <v>22 degrees this time</v>
      </c>
    </row>
    <row r="4603" spans="1:16" ht="15.75" customHeight="1" x14ac:dyDescent="0.35">
      <c r="B4603" s="20" t="s">
        <v>252</v>
      </c>
      <c r="C4603" s="27">
        <v>0.9</v>
      </c>
      <c r="D4603" s="27">
        <v>0.7</v>
      </c>
      <c r="E4603" s="27">
        <v>0.6</v>
      </c>
      <c r="F4603" s="27"/>
      <c r="G4603" s="27"/>
      <c r="H4603" s="27"/>
      <c r="I4603" s="27"/>
      <c r="J4603" s="27" t="s">
        <v>275</v>
      </c>
    </row>
    <row r="4604" spans="1:16" ht="15.75" customHeight="1" x14ac:dyDescent="0.35">
      <c r="B4604" s="20"/>
      <c r="D4604" s="11"/>
      <c r="E4604" s="11"/>
      <c r="F4604" s="11"/>
      <c r="G4604" s="1"/>
      <c r="H4604" s="55"/>
    </row>
    <row r="4605" spans="1:16" ht="15.75" customHeight="1" x14ac:dyDescent="0.35">
      <c r="B4605" s="20"/>
      <c r="G4605" s="1" t="s">
        <v>470</v>
      </c>
      <c r="K4605" s="9" t="s">
        <v>549</v>
      </c>
      <c r="L4605" s="9"/>
      <c r="M4605" s="9"/>
    </row>
    <row r="4606" spans="1:16" ht="15.75" customHeight="1" x14ac:dyDescent="0.35">
      <c r="B4606" s="30"/>
      <c r="G4606" s="1"/>
      <c r="H4606" s="1"/>
      <c r="K4606" s="32"/>
      <c r="L4606" s="9"/>
      <c r="M4606" s="9"/>
    </row>
    <row r="4607" spans="1:16" ht="15.75" customHeight="1" x14ac:dyDescent="0.35">
      <c r="B4607" s="30"/>
      <c r="G4607" s="1"/>
      <c r="H4607" s="1"/>
      <c r="K4607" s="32" t="s">
        <v>536</v>
      </c>
      <c r="L4607" s="9"/>
      <c r="M4607" s="9"/>
    </row>
    <row r="4608" spans="1:16" ht="15.75" customHeight="1" x14ac:dyDescent="0.35">
      <c r="B4608" s="9"/>
      <c r="C4608" s="9"/>
      <c r="D4608" s="9"/>
      <c r="E4608" s="9"/>
      <c r="F4608" s="12"/>
      <c r="G4608" s="12"/>
      <c r="H4608" s="12"/>
      <c r="I4608" s="12"/>
      <c r="J4608" s="12"/>
      <c r="K4608" s="12"/>
      <c r="L4608" s="1"/>
    </row>
    <row r="4609" spans="1:16" ht="15.75" customHeight="1" x14ac:dyDescent="0.35">
      <c r="B4609" s="13"/>
      <c r="C4609" s="13"/>
      <c r="D4609" s="13"/>
      <c r="E4609" s="13"/>
      <c r="F4609" s="13"/>
      <c r="G4609" s="13"/>
      <c r="H4609" s="14" t="s">
        <v>255</v>
      </c>
      <c r="I4609" s="13"/>
    </row>
    <row r="4610" spans="1:16" x14ac:dyDescent="0.35">
      <c r="B4610" s="13" t="s">
        <v>5</v>
      </c>
      <c r="C4610" s="13" t="s">
        <v>1</v>
      </c>
      <c r="D4610" s="15" t="str">
        <f>VLOOKUP(A4611,Inventory!$A$4:$K$1139,7)</f>
        <v xml:space="preserve">Klatch                             </v>
      </c>
      <c r="F4610" s="13" t="s">
        <v>235</v>
      </c>
      <c r="G4610" s="16"/>
      <c r="L4610" s="17"/>
      <c r="M4610" s="17"/>
    </row>
    <row r="4611" spans="1:16" x14ac:dyDescent="0.35">
      <c r="A4611">
        <v>154</v>
      </c>
      <c r="B4611" s="5">
        <v>43871</v>
      </c>
      <c r="C4611" s="15" t="str">
        <f>VLOOKUP(A4611,Inventory!$A$4:$K$1139,2)</f>
        <v>Panama Elida Natural 2019</v>
      </c>
      <c r="F4611" s="31" t="s">
        <v>291</v>
      </c>
      <c r="G4611" s="2" t="s">
        <v>270</v>
      </c>
      <c r="L4611" s="17"/>
      <c r="M4611" s="17"/>
      <c r="P4611" s="8"/>
    </row>
    <row r="4612" spans="1:16" x14ac:dyDescent="0.35">
      <c r="F4612" s="13"/>
      <c r="G4612" s="16"/>
      <c r="L4612" s="19"/>
      <c r="M4612" s="19"/>
    </row>
    <row r="4613" spans="1:16" x14ac:dyDescent="0.35">
      <c r="B4613" s="20"/>
      <c r="C4613" s="11" t="s">
        <v>240</v>
      </c>
      <c r="D4613" s="11" t="s">
        <v>272</v>
      </c>
      <c r="E4613" s="11" t="s">
        <v>319</v>
      </c>
      <c r="F4613" s="11">
        <v>379</v>
      </c>
      <c r="G4613" s="11">
        <v>386</v>
      </c>
      <c r="H4613" s="11">
        <v>388</v>
      </c>
      <c r="I4613" s="11">
        <v>390</v>
      </c>
      <c r="J4613" s="11" t="s">
        <v>335</v>
      </c>
      <c r="K4613" s="11"/>
      <c r="L4613" s="28"/>
    </row>
    <row r="4614" spans="1:16" ht="15.75" customHeight="1" x14ac:dyDescent="0.35">
      <c r="B4614" s="20" t="s">
        <v>242</v>
      </c>
      <c r="C4614" s="30"/>
      <c r="D4614" s="30"/>
      <c r="E4614" s="23" t="s">
        <v>244</v>
      </c>
      <c r="F4614" s="23" t="s">
        <v>245</v>
      </c>
      <c r="G4614" s="23" t="s">
        <v>246</v>
      </c>
      <c r="H4614" s="23" t="s">
        <v>273</v>
      </c>
      <c r="I4614" s="23" t="s">
        <v>247</v>
      </c>
      <c r="O4614" s="4"/>
    </row>
    <row r="4615" spans="1:16" ht="1" customHeight="1" x14ac:dyDescent="0.35">
      <c r="B4615" s="24" t="s">
        <v>249</v>
      </c>
      <c r="C4615" s="25"/>
      <c r="D4615" s="25"/>
      <c r="E4615" s="25"/>
      <c r="F4615" s="25"/>
      <c r="G4615" s="25"/>
      <c r="H4615" s="25"/>
      <c r="O4615" t="e">
        <f>(O4613-3*O4612)/O4614</f>
        <v>#DIV/0!</v>
      </c>
    </row>
    <row r="4616" spans="1:16" ht="15.75" customHeight="1" x14ac:dyDescent="0.35">
      <c r="B4616" s="20" t="s">
        <v>250</v>
      </c>
      <c r="C4616" s="26">
        <v>0.19791666666666666</v>
      </c>
      <c r="D4616" s="26">
        <v>0.28472222222222221</v>
      </c>
      <c r="E4616" s="26">
        <v>0.375</v>
      </c>
      <c r="F4616" s="26">
        <f>E4616+'Lookup Tables'!$N$1</f>
        <v>0.39583333333333331</v>
      </c>
      <c r="G4616" s="26">
        <f>F4616+'Lookup Tables'!$N$1</f>
        <v>0.41666666666666663</v>
      </c>
      <c r="H4616" s="26">
        <f>G4616+'Lookup Tables'!$S$1</f>
        <v>0.42708333333333331</v>
      </c>
      <c r="I4616" s="26">
        <f>H4616+'Lookup Tables'!$S$1</f>
        <v>0.4375</v>
      </c>
      <c r="N4616">
        <f>MAX(F4613:M4613)-O4616</f>
        <v>17</v>
      </c>
      <c r="O4616" t="str">
        <f>RIGHT(E4613,3)</f>
        <v>373</v>
      </c>
    </row>
    <row r="4617" spans="1:16" ht="15.75" customHeight="1" x14ac:dyDescent="0.35">
      <c r="B4617" s="20" t="s">
        <v>251</v>
      </c>
      <c r="C4617" s="27">
        <v>0.2</v>
      </c>
      <c r="D4617" s="27">
        <v>0.5</v>
      </c>
      <c r="E4617" s="27">
        <v>0.5</v>
      </c>
      <c r="F4617" s="27" t="s">
        <v>274</v>
      </c>
      <c r="G4617" s="27"/>
      <c r="H4617" s="25"/>
      <c r="I4617" s="25"/>
      <c r="N4617" t="str">
        <f xml:space="preserve">  N4616 &amp; " degrees this time"</f>
        <v>17 degrees this time</v>
      </c>
    </row>
    <row r="4618" spans="1:16" ht="15.75" customHeight="1" x14ac:dyDescent="0.35">
      <c r="B4618" s="20" t="s">
        <v>252</v>
      </c>
      <c r="C4618" s="27">
        <v>0.9</v>
      </c>
      <c r="D4618" s="27">
        <v>0.7</v>
      </c>
      <c r="E4618" s="27">
        <v>0.6</v>
      </c>
      <c r="F4618" s="27" t="s">
        <v>274</v>
      </c>
      <c r="G4618" s="27"/>
      <c r="H4618" s="27" t="s">
        <v>275</v>
      </c>
      <c r="I4618" s="27" t="s">
        <v>275</v>
      </c>
    </row>
    <row r="4619" spans="1:16" ht="15.75" customHeight="1" x14ac:dyDescent="0.35">
      <c r="B4619" s="20"/>
      <c r="D4619" s="11"/>
      <c r="E4619" s="11"/>
      <c r="F4619" s="11"/>
    </row>
    <row r="4620" spans="1:16" ht="15.75" customHeight="1" x14ac:dyDescent="0.35">
      <c r="B4620" s="20"/>
      <c r="C4620" s="30"/>
      <c r="D4620" s="11"/>
      <c r="E4620" s="11"/>
      <c r="F4620" s="11"/>
      <c r="G4620" s="1" t="s">
        <v>276</v>
      </c>
      <c r="K4620" s="9" t="s">
        <v>498</v>
      </c>
      <c r="L4620" s="9"/>
      <c r="M4620" s="9"/>
    </row>
    <row r="4621" spans="1:16" ht="15.75" customHeight="1" x14ac:dyDescent="0.35">
      <c r="B4621" s="20"/>
      <c r="G4621" s="1"/>
      <c r="H4621" s="1"/>
      <c r="K4621" s="9"/>
      <c r="L4621" s="9"/>
      <c r="M4621" s="9"/>
    </row>
    <row r="4622" spans="1:16" ht="15.75" customHeight="1" x14ac:dyDescent="0.35">
      <c r="B4622" s="20"/>
      <c r="G4622" s="1"/>
      <c r="H4622" s="1"/>
      <c r="K4622" s="32" t="s">
        <v>536</v>
      </c>
      <c r="L4622" s="9"/>
      <c r="M4622" s="9"/>
    </row>
    <row r="4623" spans="1:16" ht="15.75" customHeight="1" x14ac:dyDescent="0.35">
      <c r="B4623" s="9"/>
      <c r="C4623" s="9"/>
      <c r="D4623" s="9"/>
      <c r="E4623" s="9"/>
      <c r="F4623" s="12"/>
      <c r="G4623" s="12"/>
      <c r="H4623" s="12"/>
      <c r="I4623" s="12"/>
      <c r="J4623" s="12"/>
      <c r="K4623" s="12"/>
      <c r="L4623" s="1"/>
    </row>
    <row r="4624" spans="1:16" ht="15.75" customHeight="1" x14ac:dyDescent="0.35">
      <c r="B4624" s="13"/>
      <c r="C4624" s="13"/>
      <c r="D4624" s="13"/>
      <c r="E4624" s="13"/>
      <c r="F4624" s="13"/>
      <c r="G4624" s="13"/>
      <c r="I4624" s="14"/>
    </row>
    <row r="4625" spans="1:16" x14ac:dyDescent="0.35">
      <c r="B4625" s="13" t="s">
        <v>5</v>
      </c>
      <c r="C4625" s="13" t="s">
        <v>1</v>
      </c>
      <c r="D4625" s="15" t="str">
        <f>VLOOKUP(A4626,Inventory!$A$4:$K$1139,7)</f>
        <v xml:space="preserve">GCBC                               </v>
      </c>
      <c r="F4625" s="13" t="s">
        <v>235</v>
      </c>
      <c r="G4625" s="16"/>
      <c r="L4625" s="17"/>
      <c r="M4625" s="17"/>
    </row>
    <row r="4626" spans="1:16" x14ac:dyDescent="0.35">
      <c r="A4626">
        <v>140</v>
      </c>
      <c r="B4626" s="5">
        <v>43871</v>
      </c>
      <c r="C4626" s="15" t="str">
        <f>VLOOKUP(A4626,Inventory!$A$4:$K$1139,2)</f>
        <v>El Salvador Finca Buenos Aires Natural 2017</v>
      </c>
      <c r="F4626" s="34" t="s">
        <v>279</v>
      </c>
      <c r="G4626" s="2" t="s">
        <v>270</v>
      </c>
      <c r="L4626" s="17"/>
      <c r="M4626" s="17"/>
      <c r="P4626" s="8"/>
    </row>
    <row r="4627" spans="1:16" x14ac:dyDescent="0.35">
      <c r="D4627" s="40"/>
      <c r="L4627" s="19"/>
      <c r="M4627" s="19"/>
    </row>
    <row r="4628" spans="1:16" x14ac:dyDescent="0.35">
      <c r="B4628" s="20"/>
      <c r="C4628" s="11" t="s">
        <v>240</v>
      </c>
      <c r="D4628" s="11" t="s">
        <v>272</v>
      </c>
      <c r="E4628" s="11" t="s">
        <v>490</v>
      </c>
      <c r="F4628" s="11">
        <v>389</v>
      </c>
      <c r="G4628" s="11">
        <v>399</v>
      </c>
      <c r="H4628" s="11">
        <v>408</v>
      </c>
      <c r="I4628" s="11" t="s">
        <v>335</v>
      </c>
      <c r="J4628" s="11"/>
      <c r="K4628" s="11"/>
      <c r="L4628" s="28"/>
    </row>
    <row r="4629" spans="1:16" ht="15.75" customHeight="1" x14ac:dyDescent="0.35">
      <c r="B4629" s="20" t="s">
        <v>242</v>
      </c>
      <c r="C4629" s="21"/>
      <c r="D4629" s="22" t="s">
        <v>294</v>
      </c>
      <c r="E4629" s="23" t="s">
        <v>244</v>
      </c>
      <c r="F4629" s="23" t="s">
        <v>245</v>
      </c>
      <c r="G4629" s="23" t="s">
        <v>246</v>
      </c>
      <c r="H4629" s="23" t="s">
        <v>247</v>
      </c>
      <c r="I4629" s="23" t="s">
        <v>248</v>
      </c>
      <c r="O4629" s="4"/>
    </row>
    <row r="4630" spans="1:16" ht="1" customHeight="1" x14ac:dyDescent="0.35">
      <c r="B4630" s="24" t="s">
        <v>249</v>
      </c>
      <c r="C4630" s="25"/>
      <c r="D4630" s="25"/>
      <c r="E4630" s="25">
        <v>384</v>
      </c>
      <c r="F4630" s="25">
        <v>392</v>
      </c>
      <c r="G4630" s="25">
        <v>395</v>
      </c>
      <c r="H4630" s="25"/>
      <c r="I4630" s="25"/>
      <c r="O4630" t="e">
        <f>(O4628-3*O4627)/O4629</f>
        <v>#DIV/0!</v>
      </c>
    </row>
    <row r="4631" spans="1:16" ht="15.75" customHeight="1" x14ac:dyDescent="0.35">
      <c r="B4631" s="20" t="s">
        <v>250</v>
      </c>
      <c r="C4631" s="26">
        <v>0.23958333333333334</v>
      </c>
      <c r="D4631" s="26">
        <v>0.34375</v>
      </c>
      <c r="E4631" s="26">
        <v>0.44097222222222227</v>
      </c>
      <c r="F4631" s="26">
        <f>E4631+'Lookup Tables'!$N$1</f>
        <v>0.46180555555555558</v>
      </c>
      <c r="G4631" s="26">
        <f>F4631+'Lookup Tables'!$N$1</f>
        <v>0.4826388888888889</v>
      </c>
      <c r="H4631" s="26">
        <f>G4631+'Lookup Tables'!$N$1</f>
        <v>0.50347222222222221</v>
      </c>
      <c r="I4631" s="26">
        <f>H4631+'Lookup Tables'!$S$1</f>
        <v>0.51388888888888884</v>
      </c>
      <c r="N4631">
        <f>MAX(F4628:M4628)-O4631</f>
        <v>28</v>
      </c>
      <c r="O4631" t="str">
        <f>RIGHT(E4628,3)</f>
        <v>380</v>
      </c>
    </row>
    <row r="4632" spans="1:16" ht="15.75" customHeight="1" x14ac:dyDescent="0.35">
      <c r="B4632" s="20" t="s">
        <v>251</v>
      </c>
      <c r="C4632" s="27">
        <v>0.2</v>
      </c>
      <c r="D4632" s="27">
        <v>0.5</v>
      </c>
      <c r="E4632" s="27"/>
      <c r="F4632" s="27"/>
      <c r="G4632" s="27" t="s">
        <v>274</v>
      </c>
      <c r="H4632" s="27"/>
      <c r="I4632" s="25"/>
      <c r="N4632" t="str">
        <f xml:space="preserve">  N4631 &amp; " degrees this time"</f>
        <v>28 degrees this time</v>
      </c>
    </row>
    <row r="4633" spans="1:16" ht="15.75" customHeight="1" x14ac:dyDescent="0.35">
      <c r="B4633" s="20" t="s">
        <v>252</v>
      </c>
      <c r="C4633" s="27">
        <v>0.9</v>
      </c>
      <c r="D4633" s="27">
        <v>0.8</v>
      </c>
      <c r="E4633" s="27">
        <v>0.5</v>
      </c>
      <c r="F4633" s="27">
        <v>0.3</v>
      </c>
      <c r="G4633" s="27" t="s">
        <v>274</v>
      </c>
      <c r="H4633" s="27" t="s">
        <v>275</v>
      </c>
      <c r="I4633" s="27" t="s">
        <v>275</v>
      </c>
    </row>
    <row r="4634" spans="1:16" ht="15.75" customHeight="1" x14ac:dyDescent="0.35">
      <c r="B4634" s="20"/>
      <c r="C4634" s="30"/>
      <c r="F4634" s="11"/>
      <c r="H4634" s="13"/>
      <c r="I4634" s="13"/>
      <c r="J4634" s="35"/>
    </row>
    <row r="4635" spans="1:16" ht="15.75" customHeight="1" x14ac:dyDescent="0.35">
      <c r="C4635" s="30"/>
      <c r="G4635" s="1" t="s">
        <v>478</v>
      </c>
      <c r="K4635" s="9" t="s">
        <v>550</v>
      </c>
      <c r="L4635" s="9"/>
      <c r="M4635" s="9"/>
    </row>
    <row r="4636" spans="1:16" ht="15.75" customHeight="1" x14ac:dyDescent="0.35">
      <c r="B4636" s="20"/>
      <c r="G4636" s="1"/>
      <c r="H4636" s="1"/>
      <c r="K4636" s="9" t="s">
        <v>537</v>
      </c>
      <c r="L4636" s="9"/>
      <c r="M4636" s="9"/>
    </row>
    <row r="4637" spans="1:16" ht="15.75" customHeight="1" x14ac:dyDescent="0.35">
      <c r="B4637" s="20"/>
      <c r="G4637" s="1"/>
      <c r="H4637" s="1"/>
      <c r="K4637" s="32" t="s">
        <v>536</v>
      </c>
      <c r="L4637" s="9"/>
      <c r="M4637" s="9"/>
    </row>
    <row r="4638" spans="1:16" ht="15.75" customHeight="1" x14ac:dyDescent="0.35">
      <c r="B4638" s="9"/>
      <c r="C4638" s="9"/>
      <c r="D4638" s="9"/>
      <c r="E4638" s="9"/>
      <c r="F4638" s="12"/>
      <c r="G4638" s="12"/>
      <c r="H4638" s="12"/>
      <c r="I4638" s="12"/>
      <c r="J4638" s="12"/>
      <c r="K4638" s="12"/>
      <c r="L4638" s="1"/>
    </row>
    <row r="4639" spans="1:16" ht="15.75" customHeight="1" x14ac:dyDescent="0.35">
      <c r="B4639" s="13"/>
      <c r="C4639" s="13"/>
      <c r="D4639" s="13"/>
      <c r="E4639" s="13"/>
      <c r="F4639" s="13"/>
      <c r="G4639" s="13"/>
      <c r="I4639" s="14"/>
    </row>
    <row r="4640" spans="1:16" x14ac:dyDescent="0.35">
      <c r="B4640" s="13" t="s">
        <v>5</v>
      </c>
      <c r="C4640" s="13" t="s">
        <v>1</v>
      </c>
      <c r="D4640" s="15" t="str">
        <f>VLOOKUP(A4641,Inventory!$A$4:$K$1139,7)</f>
        <v xml:space="preserve">GCBC                               </v>
      </c>
      <c r="F4640" s="13" t="s">
        <v>235</v>
      </c>
      <c r="G4640" s="16"/>
      <c r="H4640" s="14" t="s">
        <v>236</v>
      </c>
      <c r="L4640" s="17"/>
      <c r="M4640" s="17"/>
    </row>
    <row r="4641" spans="1:16" x14ac:dyDescent="0.35">
      <c r="A4641">
        <v>149</v>
      </c>
      <c r="B4641" s="5">
        <v>43868</v>
      </c>
      <c r="C4641" s="15" t="str">
        <f>VLOOKUP(A4641,Inventory!$A$4:$K$1139,2)</f>
        <v>Organic Ethiopian Sidamo WP 2018 Decaf</v>
      </c>
      <c r="F4641" s="18" t="s">
        <v>237</v>
      </c>
      <c r="G4641" s="2" t="s">
        <v>238</v>
      </c>
      <c r="L4641" s="17"/>
      <c r="M4641" s="17"/>
      <c r="P4641" s="8"/>
    </row>
    <row r="4642" spans="1:16" x14ac:dyDescent="0.35">
      <c r="J4642" s="1" t="s">
        <v>16</v>
      </c>
      <c r="L4642" s="19"/>
      <c r="M4642" s="19"/>
    </row>
    <row r="4643" spans="1:16" x14ac:dyDescent="0.35">
      <c r="C4643" s="11" t="s">
        <v>240</v>
      </c>
      <c r="D4643" s="11" t="s">
        <v>241</v>
      </c>
      <c r="E4643" s="11" t="s">
        <v>444</v>
      </c>
      <c r="F4643" s="11">
        <v>368</v>
      </c>
      <c r="G4643" s="11">
        <v>372</v>
      </c>
      <c r="H4643" s="11">
        <v>376</v>
      </c>
      <c r="I4643" s="11">
        <v>381</v>
      </c>
      <c r="J4643" s="11">
        <v>383</v>
      </c>
      <c r="K4643" s="11">
        <v>386</v>
      </c>
      <c r="L4643" s="11"/>
    </row>
    <row r="4644" spans="1:16" ht="15.75" customHeight="1" x14ac:dyDescent="0.35">
      <c r="B4644" s="20" t="s">
        <v>242</v>
      </c>
      <c r="C4644" s="30"/>
      <c r="D4644" s="30"/>
      <c r="E4644" s="23" t="s">
        <v>244</v>
      </c>
      <c r="F4644" s="23" t="s">
        <v>245</v>
      </c>
      <c r="G4644" s="23" t="s">
        <v>246</v>
      </c>
      <c r="H4644" s="23" t="s">
        <v>247</v>
      </c>
      <c r="I4644" s="23" t="s">
        <v>259</v>
      </c>
      <c r="J4644" s="23" t="s">
        <v>260</v>
      </c>
      <c r="K4644" s="23" t="s">
        <v>261</v>
      </c>
      <c r="O4644" s="4"/>
    </row>
    <row r="4645" spans="1:16" ht="1" customHeight="1" x14ac:dyDescent="0.35">
      <c r="B4645" s="24" t="s">
        <v>249</v>
      </c>
      <c r="C4645" s="25">
        <v>320</v>
      </c>
      <c r="D4645" s="25">
        <v>350</v>
      </c>
      <c r="E4645" s="25">
        <v>377</v>
      </c>
      <c r="F4645" s="25">
        <v>384</v>
      </c>
      <c r="G4645" s="25">
        <v>388</v>
      </c>
      <c r="H4645" s="25">
        <v>392</v>
      </c>
      <c r="I4645" s="25">
        <v>395</v>
      </c>
      <c r="J4645" s="25">
        <v>415</v>
      </c>
      <c r="K4645" s="25">
        <v>415</v>
      </c>
      <c r="O4645" t="e">
        <f>(O4643-3*O4642)/O4644</f>
        <v>#DIV/0!</v>
      </c>
    </row>
    <row r="4646" spans="1:16" ht="15.75" customHeight="1" x14ac:dyDescent="0.35">
      <c r="B4646" s="20" t="s">
        <v>250</v>
      </c>
      <c r="C4646" s="26">
        <v>0.2673611111111111</v>
      </c>
      <c r="D4646" s="26">
        <v>0.3611111111111111</v>
      </c>
      <c r="E4646" s="26">
        <v>0.44097222222222227</v>
      </c>
      <c r="F4646" s="26">
        <f>E4646+'Lookup Tables'!$N$1</f>
        <v>0.46180555555555558</v>
      </c>
      <c r="G4646" s="26">
        <f>F4646+'Lookup Tables'!$N$1</f>
        <v>0.4826388888888889</v>
      </c>
      <c r="H4646" s="26">
        <f>G4646+'Lookup Tables'!$N$1</f>
        <v>0.50347222222222221</v>
      </c>
      <c r="I4646" s="26">
        <f>H4646+'Lookup Tables'!$N$1</f>
        <v>0.52430555555555558</v>
      </c>
      <c r="J4646" s="26">
        <f>I4646+'Lookup Tables'!$M$1</f>
        <v>0.53472222222222221</v>
      </c>
      <c r="K4646" s="26">
        <f>J4646+'Lookup Tables'!$M$1</f>
        <v>0.54513888888888884</v>
      </c>
      <c r="N4646">
        <f>MAX(F4643:M4643)-O4646</f>
        <v>26</v>
      </c>
      <c r="O4646" t="str">
        <f>RIGHT(E4643,3)</f>
        <v>360</v>
      </c>
    </row>
    <row r="4647" spans="1:16" ht="15.75" customHeight="1" x14ac:dyDescent="0.35">
      <c r="B4647" s="20" t="s">
        <v>251</v>
      </c>
      <c r="C4647" s="27">
        <v>0.2</v>
      </c>
      <c r="D4647" s="27">
        <v>0.5</v>
      </c>
      <c r="E4647" s="27"/>
      <c r="F4647" s="27"/>
      <c r="G4647" s="27"/>
      <c r="H4647" s="27" t="s">
        <v>274</v>
      </c>
      <c r="I4647" s="27"/>
      <c r="J4647" s="27"/>
      <c r="K4647" s="25"/>
      <c r="N4647" t="str">
        <f xml:space="preserve">  N4646 &amp; " degrees this time"</f>
        <v>26 degrees this time</v>
      </c>
    </row>
    <row r="4648" spans="1:16" ht="15.75" customHeight="1" x14ac:dyDescent="0.35">
      <c r="B4648" s="20" t="s">
        <v>252</v>
      </c>
      <c r="C4648" s="27">
        <v>0.9</v>
      </c>
      <c r="D4648" s="27">
        <v>0.7</v>
      </c>
      <c r="E4648" s="27">
        <v>0.6</v>
      </c>
      <c r="F4648" s="27"/>
      <c r="G4648" s="27"/>
      <c r="H4648" s="27" t="s">
        <v>274</v>
      </c>
      <c r="I4648" s="27"/>
      <c r="J4648" s="27"/>
      <c r="K4648" s="27"/>
    </row>
    <row r="4649" spans="1:16" ht="15.75" customHeight="1" x14ac:dyDescent="0.35">
      <c r="B4649" s="20"/>
      <c r="D4649" s="11"/>
      <c r="E4649" s="11"/>
      <c r="F4649" s="28"/>
      <c r="H4649" s="1"/>
      <c r="I4649" s="1"/>
    </row>
    <row r="4650" spans="1:16" ht="15.75" customHeight="1" x14ac:dyDescent="0.35">
      <c r="G4650" s="1" t="s">
        <v>383</v>
      </c>
      <c r="K4650" s="9"/>
      <c r="L4650" s="9"/>
      <c r="M4650" s="9"/>
    </row>
    <row r="4651" spans="1:16" ht="15.75" customHeight="1" x14ac:dyDescent="0.35">
      <c r="B4651" s="20"/>
      <c r="G4651" s="1"/>
      <c r="H4651" s="1"/>
      <c r="K4651" s="9"/>
      <c r="L4651" s="9"/>
      <c r="M4651" s="9"/>
    </row>
    <row r="4652" spans="1:16" ht="15.75" customHeight="1" x14ac:dyDescent="0.35">
      <c r="B4652" s="20"/>
      <c r="G4652" s="1"/>
      <c r="H4652" s="1"/>
      <c r="K4652" s="9" t="s">
        <v>254</v>
      </c>
      <c r="L4652" s="9"/>
      <c r="M4652" s="9"/>
    </row>
    <row r="4653" spans="1:16" ht="15.75" customHeight="1" x14ac:dyDescent="0.35">
      <c r="B4653" s="9"/>
      <c r="C4653" s="9"/>
      <c r="D4653" s="9"/>
      <c r="E4653" s="9"/>
      <c r="F4653" s="12"/>
      <c r="G4653" s="12"/>
      <c r="H4653" s="12"/>
      <c r="I4653" s="12"/>
      <c r="J4653" s="12"/>
      <c r="K4653" s="12"/>
      <c r="L4653" s="1"/>
    </row>
    <row r="4654" spans="1:16" ht="15.75" customHeight="1" x14ac:dyDescent="0.35">
      <c r="B4654" s="13"/>
      <c r="C4654" s="13"/>
      <c r="D4654" s="15"/>
      <c r="H4654" s="14" t="s">
        <v>255</v>
      </c>
      <c r="I4654" s="14"/>
    </row>
    <row r="4655" spans="1:16" x14ac:dyDescent="0.35">
      <c r="B4655" s="13" t="s">
        <v>5</v>
      </c>
      <c r="C4655" s="13" t="s">
        <v>1</v>
      </c>
      <c r="D4655" s="15" t="str">
        <f>VLOOKUP(A4656,Inventory!$A$4:$K$1139,7)</f>
        <v xml:space="preserve">GCBC                               </v>
      </c>
      <c r="F4655" s="13" t="s">
        <v>235</v>
      </c>
      <c r="G4655" s="16"/>
      <c r="H4655" s="14" t="s">
        <v>256</v>
      </c>
      <c r="L4655" s="17"/>
      <c r="M4655" s="17"/>
    </row>
    <row r="4656" spans="1:16" x14ac:dyDescent="0.35">
      <c r="A4656">
        <v>149</v>
      </c>
      <c r="B4656" s="5">
        <v>43868</v>
      </c>
      <c r="C4656" s="15" t="str">
        <f>VLOOKUP(A4656,Inventory!$A$4:$K$1139,2)</f>
        <v>Organic Ethiopian Sidamo WP 2018 Decaf</v>
      </c>
      <c r="F4656" s="18" t="s">
        <v>257</v>
      </c>
      <c r="G4656" s="2" t="s">
        <v>238</v>
      </c>
      <c r="L4656" s="17"/>
      <c r="M4656" s="17"/>
      <c r="P4656" s="8"/>
    </row>
    <row r="4657" spans="1:16" x14ac:dyDescent="0.35">
      <c r="L4657" s="19"/>
      <c r="M4657" s="19"/>
    </row>
    <row r="4658" spans="1:16" x14ac:dyDescent="0.35">
      <c r="C4658" s="11" t="s">
        <v>240</v>
      </c>
      <c r="D4658" s="11" t="s">
        <v>241</v>
      </c>
      <c r="E4658" s="11" t="s">
        <v>430</v>
      </c>
      <c r="F4658" s="11">
        <v>373</v>
      </c>
      <c r="G4658" s="11">
        <v>377</v>
      </c>
      <c r="H4658" s="11">
        <v>382</v>
      </c>
      <c r="I4658" s="11">
        <v>386</v>
      </c>
      <c r="J4658" s="11">
        <v>391</v>
      </c>
      <c r="K4658" s="11">
        <v>395</v>
      </c>
      <c r="L4658" s="11"/>
    </row>
    <row r="4659" spans="1:16" ht="15.75" customHeight="1" x14ac:dyDescent="0.35">
      <c r="B4659" s="20" t="s">
        <v>242</v>
      </c>
      <c r="C4659" s="30"/>
      <c r="D4659" s="30"/>
      <c r="E4659" s="23" t="s">
        <v>244</v>
      </c>
      <c r="F4659" s="23" t="s">
        <v>245</v>
      </c>
      <c r="G4659" s="23" t="s">
        <v>246</v>
      </c>
      <c r="H4659" s="23" t="s">
        <v>247</v>
      </c>
      <c r="I4659" s="23" t="s">
        <v>259</v>
      </c>
      <c r="J4659" s="23" t="s">
        <v>260</v>
      </c>
      <c r="K4659" s="23" t="s">
        <v>261</v>
      </c>
      <c r="O4659" s="4"/>
    </row>
    <row r="4660" spans="1:16" ht="1" customHeight="1" x14ac:dyDescent="0.35">
      <c r="B4660" s="24" t="s">
        <v>249</v>
      </c>
      <c r="C4660" s="25">
        <v>320</v>
      </c>
      <c r="D4660" s="25">
        <v>350</v>
      </c>
      <c r="E4660" s="25">
        <v>377</v>
      </c>
      <c r="F4660" s="25">
        <v>384</v>
      </c>
      <c r="G4660" s="25">
        <v>388</v>
      </c>
      <c r="H4660" s="25">
        <v>392</v>
      </c>
      <c r="I4660" s="25">
        <v>395</v>
      </c>
      <c r="J4660" s="25">
        <v>415</v>
      </c>
      <c r="K4660" s="25">
        <v>415</v>
      </c>
      <c r="O4660" t="e">
        <f>(O4658-3*O4657)/O4659</f>
        <v>#DIV/0!</v>
      </c>
    </row>
    <row r="4661" spans="1:16" ht="15.75" customHeight="1" x14ac:dyDescent="0.35">
      <c r="B4661" s="20" t="s">
        <v>250</v>
      </c>
      <c r="C4661" s="26">
        <v>0.22916666666666666</v>
      </c>
      <c r="D4661" s="26">
        <v>0.30902777777777779</v>
      </c>
      <c r="E4661" s="26">
        <v>0.40625</v>
      </c>
      <c r="F4661" s="26">
        <f>E4661+'Lookup Tables'!$N$1</f>
        <v>0.42708333333333331</v>
      </c>
      <c r="G4661" s="26">
        <f>F4661+'Lookup Tables'!$N$1</f>
        <v>0.44791666666666663</v>
      </c>
      <c r="H4661" s="26">
        <f>G4661+'Lookup Tables'!$N$1</f>
        <v>0.46874999999999994</v>
      </c>
      <c r="I4661" s="26">
        <f>H4661+'Lookup Tables'!$N$1</f>
        <v>0.48958333333333326</v>
      </c>
      <c r="J4661" s="26">
        <f>I4661+'Lookup Tables'!$M$1</f>
        <v>0.49999999999999994</v>
      </c>
      <c r="K4661" s="26">
        <f>J4661+'Lookup Tables'!$M$1</f>
        <v>0.51041666666666663</v>
      </c>
      <c r="N4661">
        <f>MAX(F4658:M4658)-O4661</f>
        <v>27</v>
      </c>
      <c r="O4661" t="str">
        <f>RIGHT(E4658,3)</f>
        <v>368</v>
      </c>
    </row>
    <row r="4662" spans="1:16" ht="15.75" customHeight="1" x14ac:dyDescent="0.35">
      <c r="B4662" s="20" t="s">
        <v>251</v>
      </c>
      <c r="C4662" s="27">
        <v>0.2</v>
      </c>
      <c r="D4662" s="27">
        <v>0.5</v>
      </c>
      <c r="E4662" s="27"/>
      <c r="F4662" s="27"/>
      <c r="G4662" s="27"/>
      <c r="H4662" s="27"/>
      <c r="I4662" s="27"/>
      <c r="J4662" s="27"/>
      <c r="K4662" s="25"/>
      <c r="N4662" t="str">
        <f xml:space="preserve">  N4661 &amp; " degrees this time"</f>
        <v>27 degrees this time</v>
      </c>
    </row>
    <row r="4663" spans="1:16" ht="15.75" customHeight="1" x14ac:dyDescent="0.35">
      <c r="B4663" s="20" t="s">
        <v>252</v>
      </c>
      <c r="C4663" s="27">
        <v>0.9</v>
      </c>
      <c r="D4663" s="27">
        <v>0.7</v>
      </c>
      <c r="E4663" s="27">
        <v>0.6</v>
      </c>
      <c r="F4663" s="27"/>
      <c r="G4663" s="27"/>
      <c r="H4663" s="27"/>
      <c r="I4663" s="27"/>
      <c r="J4663" s="27"/>
      <c r="K4663" s="27"/>
    </row>
    <row r="4664" spans="1:16" ht="15.75" customHeight="1" x14ac:dyDescent="0.35">
      <c r="B4664" s="20"/>
      <c r="D4664" s="11"/>
      <c r="E4664" s="11"/>
      <c r="F4664" s="28"/>
      <c r="H4664" s="1"/>
    </row>
    <row r="4665" spans="1:16" ht="15.75" customHeight="1" x14ac:dyDescent="0.35">
      <c r="B4665" s="1" t="s">
        <v>385</v>
      </c>
      <c r="F4665" t="s">
        <v>263</v>
      </c>
      <c r="G4665" s="1"/>
      <c r="K4665" s="9" t="s">
        <v>386</v>
      </c>
      <c r="L4665" s="9"/>
      <c r="M4665" s="9"/>
    </row>
    <row r="4666" spans="1:16" ht="15.75" customHeight="1" x14ac:dyDescent="0.35">
      <c r="B4666" s="20" t="s">
        <v>264</v>
      </c>
      <c r="D4666" s="29"/>
      <c r="F4666" t="s">
        <v>265</v>
      </c>
      <c r="G4666" s="1"/>
      <c r="H4666" s="1"/>
      <c r="K4666" s="9"/>
      <c r="L4666" s="9"/>
      <c r="M4666" s="9"/>
    </row>
    <row r="4667" spans="1:16" ht="15.75" customHeight="1" x14ac:dyDescent="0.35">
      <c r="B4667" s="20" t="s">
        <v>267</v>
      </c>
      <c r="F4667" t="s">
        <v>268</v>
      </c>
      <c r="G4667" s="1"/>
      <c r="H4667" s="1"/>
      <c r="K4667" s="9" t="s">
        <v>254</v>
      </c>
      <c r="L4667" s="9"/>
      <c r="M4667" s="9"/>
    </row>
    <row r="4668" spans="1:16" ht="15.75" customHeight="1" x14ac:dyDescent="0.35">
      <c r="B4668" s="9"/>
      <c r="C4668" s="9"/>
      <c r="D4668" s="9"/>
      <c r="E4668" s="9"/>
      <c r="F4668" s="12"/>
      <c r="G4668" s="12"/>
      <c r="H4668" s="12"/>
      <c r="I4668" s="12"/>
      <c r="J4668" s="12"/>
      <c r="K4668" s="12"/>
      <c r="L4668" s="1"/>
    </row>
    <row r="4669" spans="1:16" ht="15.75" customHeight="1" x14ac:dyDescent="0.35">
      <c r="B4669" s="13"/>
      <c r="C4669" s="13"/>
      <c r="D4669" s="13"/>
      <c r="E4669" s="13"/>
      <c r="F4669" s="33" t="s">
        <v>551</v>
      </c>
      <c r="G4669" s="13"/>
      <c r="I4669" s="14"/>
    </row>
    <row r="4670" spans="1:16" x14ac:dyDescent="0.35">
      <c r="B4670" s="13" t="s">
        <v>5</v>
      </c>
      <c r="C4670" s="13" t="s">
        <v>1</v>
      </c>
      <c r="D4670" s="15" t="str">
        <f>VLOOKUP(A4671,Inventory!$A$4:$K$1139,7)</f>
        <v xml:space="preserve">GCBC                               </v>
      </c>
      <c r="F4670" s="13" t="s">
        <v>235</v>
      </c>
      <c r="G4670" s="16"/>
      <c r="H4670" s="14" t="s">
        <v>236</v>
      </c>
      <c r="L4670" s="17"/>
      <c r="M4670" s="17"/>
    </row>
    <row r="4671" spans="1:16" x14ac:dyDescent="0.35">
      <c r="A4671">
        <v>155</v>
      </c>
      <c r="B4671" s="5">
        <v>43868</v>
      </c>
      <c r="C4671" s="15" t="str">
        <f>VLOOKUP(A4671,Inventory!$A$4:$K$1139,2)</f>
        <v>Organic Ethiopian Sidamo 2019 WP Decaf</v>
      </c>
      <c r="F4671" s="18" t="s">
        <v>237</v>
      </c>
      <c r="G4671" s="2" t="s">
        <v>238</v>
      </c>
      <c r="L4671" s="17"/>
      <c r="M4671" s="17"/>
      <c r="P4671" s="8"/>
    </row>
    <row r="4672" spans="1:16" x14ac:dyDescent="0.35">
      <c r="J4672" s="1" t="s">
        <v>16</v>
      </c>
      <c r="L4672" s="19"/>
      <c r="M4672" s="19"/>
    </row>
    <row r="4673" spans="1:16" x14ac:dyDescent="0.35">
      <c r="C4673" s="11" t="s">
        <v>240</v>
      </c>
      <c r="D4673" s="11" t="s">
        <v>241</v>
      </c>
      <c r="E4673" s="11" t="s">
        <v>552</v>
      </c>
      <c r="F4673" s="11">
        <v>361</v>
      </c>
      <c r="G4673" s="11">
        <v>364</v>
      </c>
      <c r="H4673" s="11"/>
      <c r="I4673" s="11">
        <v>368</v>
      </c>
      <c r="J4673" s="11">
        <v>371</v>
      </c>
      <c r="K4673" s="11">
        <v>374</v>
      </c>
      <c r="L4673" s="11">
        <v>376</v>
      </c>
    </row>
    <row r="4674" spans="1:16" ht="15.75" customHeight="1" x14ac:dyDescent="0.35">
      <c r="B4674" s="20" t="s">
        <v>242</v>
      </c>
      <c r="C4674" s="30"/>
      <c r="D4674" s="30"/>
      <c r="E4674" s="23" t="s">
        <v>244</v>
      </c>
      <c r="F4674" s="23" t="s">
        <v>245</v>
      </c>
      <c r="G4674" s="23" t="s">
        <v>246</v>
      </c>
      <c r="H4674" s="23" t="s">
        <v>247</v>
      </c>
      <c r="I4674" s="23" t="s">
        <v>259</v>
      </c>
      <c r="J4674" s="23" t="s">
        <v>261</v>
      </c>
      <c r="K4674" s="23" t="s">
        <v>553</v>
      </c>
      <c r="L4674" s="23" t="s">
        <v>554</v>
      </c>
      <c r="O4674" s="4"/>
    </row>
    <row r="4675" spans="1:16" ht="1" customHeight="1" x14ac:dyDescent="0.35">
      <c r="B4675" s="24" t="s">
        <v>249</v>
      </c>
      <c r="C4675" s="25">
        <v>320</v>
      </c>
      <c r="D4675" s="25">
        <v>350</v>
      </c>
      <c r="E4675" s="25">
        <v>377</v>
      </c>
      <c r="F4675" s="25">
        <v>384</v>
      </c>
      <c r="G4675" s="25">
        <v>388</v>
      </c>
      <c r="H4675" s="25">
        <v>392</v>
      </c>
      <c r="I4675" s="25">
        <v>395</v>
      </c>
      <c r="J4675" s="25">
        <v>408</v>
      </c>
      <c r="K4675" s="25">
        <v>395</v>
      </c>
      <c r="L4675" s="25">
        <v>408</v>
      </c>
      <c r="O4675" t="e">
        <f>(O4673-3*O4672)/O4674</f>
        <v>#DIV/0!</v>
      </c>
    </row>
    <row r="4676" spans="1:16" ht="15.75" customHeight="1" x14ac:dyDescent="0.35">
      <c r="B4676" s="20" t="s">
        <v>250</v>
      </c>
      <c r="C4676" s="26">
        <v>0.27430555555555552</v>
      </c>
      <c r="D4676" s="26">
        <v>0.35416666666666669</v>
      </c>
      <c r="E4676" s="26">
        <v>0.4236111111111111</v>
      </c>
      <c r="F4676" s="26">
        <f>E4676+'Lookup Tables'!$N$1</f>
        <v>0.44444444444444442</v>
      </c>
      <c r="G4676" s="26">
        <f>F4676+'Lookup Tables'!$N$1</f>
        <v>0.46527777777777773</v>
      </c>
      <c r="H4676" s="26">
        <f>G4676+'Lookup Tables'!$N$1</f>
        <v>0.48611111111111105</v>
      </c>
      <c r="I4676" s="26">
        <f>H4676+'Lookup Tables'!$N$1</f>
        <v>0.50694444444444442</v>
      </c>
      <c r="J4676" s="26">
        <f>I4676+'Lookup Tables'!$N$1</f>
        <v>0.52777777777777779</v>
      </c>
      <c r="K4676" s="26">
        <f>J4676+'Lookup Tables'!$N$1</f>
        <v>0.54861111111111116</v>
      </c>
      <c r="L4676" s="26">
        <f>K4676+'Lookup Tables'!$N$1</f>
        <v>0.56944444444444453</v>
      </c>
      <c r="N4676">
        <f>MAX(F4673:M4673)-O4676</f>
        <v>20</v>
      </c>
      <c r="O4676" t="str">
        <f>RIGHT(E4673,3)</f>
        <v>356</v>
      </c>
    </row>
    <row r="4677" spans="1:16" ht="15.75" customHeight="1" x14ac:dyDescent="0.35">
      <c r="B4677" s="20" t="s">
        <v>251</v>
      </c>
      <c r="C4677" s="27">
        <v>0.2</v>
      </c>
      <c r="D4677" s="27">
        <v>0.5</v>
      </c>
      <c r="E4677" s="27"/>
      <c r="F4677" s="27"/>
      <c r="G4677" s="27"/>
      <c r="H4677" s="27"/>
      <c r="I4677" s="27"/>
      <c r="J4677" s="27"/>
      <c r="K4677" s="27"/>
      <c r="L4677" s="27"/>
      <c r="N4677" t="str">
        <f xml:space="preserve">  N4676 &amp; " degrees this time"</f>
        <v>20 degrees this time</v>
      </c>
    </row>
    <row r="4678" spans="1:16" ht="15.75" customHeight="1" x14ac:dyDescent="0.35">
      <c r="B4678" s="20" t="s">
        <v>252</v>
      </c>
      <c r="C4678" s="27">
        <v>0.9</v>
      </c>
      <c r="D4678" s="27">
        <v>0.7</v>
      </c>
      <c r="E4678" s="27">
        <v>0.6</v>
      </c>
      <c r="F4678" s="27"/>
      <c r="G4678" s="27"/>
      <c r="H4678" s="27"/>
      <c r="I4678" s="27"/>
      <c r="J4678" s="27"/>
      <c r="K4678" s="27"/>
      <c r="L4678" s="27"/>
    </row>
    <row r="4679" spans="1:16" ht="15.75" customHeight="1" x14ac:dyDescent="0.35">
      <c r="B4679" s="20"/>
      <c r="D4679" s="11"/>
      <c r="E4679" s="11"/>
      <c r="F4679" s="28"/>
      <c r="H4679" s="1" t="s">
        <v>409</v>
      </c>
      <c r="I4679" s="1"/>
    </row>
    <row r="4680" spans="1:16" ht="15.75" customHeight="1" x14ac:dyDescent="0.35">
      <c r="G4680" s="1" t="s">
        <v>383</v>
      </c>
      <c r="K4680" s="9" t="s">
        <v>545</v>
      </c>
      <c r="L4680" s="9"/>
      <c r="M4680" s="9"/>
    </row>
    <row r="4681" spans="1:16" ht="15.75" customHeight="1" x14ac:dyDescent="0.35">
      <c r="B4681" s="20"/>
      <c r="G4681" s="1"/>
      <c r="H4681" s="1"/>
      <c r="K4681" s="9" t="s">
        <v>555</v>
      </c>
      <c r="L4681" s="9"/>
      <c r="M4681" s="9"/>
    </row>
    <row r="4682" spans="1:16" ht="15.75" customHeight="1" x14ac:dyDescent="0.35">
      <c r="B4682" s="20"/>
      <c r="G4682" s="1"/>
      <c r="H4682" s="1"/>
      <c r="K4682" s="9" t="s">
        <v>254</v>
      </c>
      <c r="L4682" s="9"/>
      <c r="M4682" s="9"/>
    </row>
    <row r="4683" spans="1:16" ht="15.75" customHeight="1" x14ac:dyDescent="0.35">
      <c r="B4683" s="9"/>
      <c r="C4683" s="9"/>
      <c r="D4683" s="9"/>
      <c r="E4683" s="9"/>
      <c r="F4683" s="12"/>
      <c r="G4683" s="12"/>
      <c r="H4683" s="12"/>
      <c r="I4683" s="12"/>
      <c r="J4683" s="12"/>
      <c r="K4683" s="12"/>
      <c r="L4683" s="1"/>
    </row>
    <row r="4684" spans="1:16" ht="15.75" customHeight="1" x14ac:dyDescent="0.35">
      <c r="B4684" s="13"/>
      <c r="C4684" s="13"/>
      <c r="D4684" s="15"/>
      <c r="H4684" s="14" t="s">
        <v>255</v>
      </c>
      <c r="I4684" s="14"/>
    </row>
    <row r="4685" spans="1:16" x14ac:dyDescent="0.35">
      <c r="B4685" s="13" t="s">
        <v>5</v>
      </c>
      <c r="C4685" s="13" t="s">
        <v>1</v>
      </c>
      <c r="D4685" s="15" t="str">
        <f>VLOOKUP(A4686,Inventory!$A$4:$K$1139,7)</f>
        <v xml:space="preserve">GCBC                               </v>
      </c>
      <c r="F4685" s="13" t="s">
        <v>235</v>
      </c>
      <c r="G4685" s="16"/>
      <c r="H4685" s="14" t="s">
        <v>256</v>
      </c>
      <c r="L4685" s="17"/>
      <c r="M4685" s="17"/>
    </row>
    <row r="4686" spans="1:16" x14ac:dyDescent="0.35">
      <c r="A4686">
        <v>155</v>
      </c>
      <c r="B4686" s="5">
        <v>43868</v>
      </c>
      <c r="C4686" s="15" t="str">
        <f>VLOOKUP(A4686,Inventory!$A$4:$K$1139,2)</f>
        <v>Organic Ethiopian Sidamo 2019 WP Decaf</v>
      </c>
      <c r="F4686" s="18" t="s">
        <v>257</v>
      </c>
      <c r="G4686" s="2" t="s">
        <v>238</v>
      </c>
      <c r="L4686" s="17"/>
      <c r="M4686" s="17"/>
      <c r="P4686" s="8"/>
    </row>
    <row r="4687" spans="1:16" x14ac:dyDescent="0.35">
      <c r="L4687" s="19"/>
      <c r="M4687" s="19"/>
    </row>
    <row r="4688" spans="1:16" x14ac:dyDescent="0.35">
      <c r="C4688" s="11" t="s">
        <v>240</v>
      </c>
      <c r="D4688" s="11" t="s">
        <v>241</v>
      </c>
      <c r="E4688" s="11" t="s">
        <v>556</v>
      </c>
      <c r="F4688" s="11">
        <v>372</v>
      </c>
      <c r="G4688" s="11">
        <v>377</v>
      </c>
      <c r="H4688" s="11">
        <v>382</v>
      </c>
      <c r="I4688" s="11">
        <v>390</v>
      </c>
      <c r="J4688" s="11"/>
      <c r="K4688" s="11"/>
      <c r="L4688" s="11"/>
    </row>
    <row r="4689" spans="1:16" ht="15.75" customHeight="1" x14ac:dyDescent="0.35">
      <c r="B4689" s="20" t="s">
        <v>242</v>
      </c>
      <c r="C4689" s="30"/>
      <c r="D4689" s="30"/>
      <c r="E4689" s="23" t="s">
        <v>244</v>
      </c>
      <c r="F4689" s="23" t="s">
        <v>245</v>
      </c>
      <c r="G4689" s="23" t="s">
        <v>246</v>
      </c>
      <c r="H4689" s="23" t="s">
        <v>247</v>
      </c>
      <c r="I4689" s="23" t="s">
        <v>259</v>
      </c>
      <c r="J4689" s="23" t="s">
        <v>260</v>
      </c>
      <c r="K4689" s="23" t="s">
        <v>261</v>
      </c>
      <c r="O4689" s="4"/>
    </row>
    <row r="4690" spans="1:16" ht="1" customHeight="1" x14ac:dyDescent="0.35">
      <c r="B4690" s="24" t="s">
        <v>249</v>
      </c>
      <c r="C4690" s="25">
        <v>320</v>
      </c>
      <c r="D4690" s="25">
        <v>350</v>
      </c>
      <c r="E4690" s="25">
        <v>377</v>
      </c>
      <c r="F4690" s="25">
        <v>384</v>
      </c>
      <c r="G4690" s="25">
        <v>388</v>
      </c>
      <c r="H4690" s="25">
        <v>392</v>
      </c>
      <c r="I4690" s="25">
        <v>395</v>
      </c>
      <c r="J4690" s="25">
        <v>415</v>
      </c>
      <c r="K4690" s="25">
        <v>415</v>
      </c>
      <c r="O4690" t="e">
        <f>(O4688-3*O4687)/O4689</f>
        <v>#DIV/0!</v>
      </c>
    </row>
    <row r="4691" spans="1:16" ht="15.75" customHeight="1" x14ac:dyDescent="0.35">
      <c r="B4691" s="20" t="s">
        <v>250</v>
      </c>
      <c r="C4691" s="26">
        <v>0.22222222222222221</v>
      </c>
      <c r="D4691" s="26">
        <v>0.30208333333333331</v>
      </c>
      <c r="E4691" s="26">
        <v>0.37847222222222227</v>
      </c>
      <c r="F4691" s="26">
        <f>E4691+'Lookup Tables'!$N$1</f>
        <v>0.39930555555555558</v>
      </c>
      <c r="G4691" s="26">
        <f>F4691+'Lookup Tables'!$N$1</f>
        <v>0.4201388888888889</v>
      </c>
      <c r="H4691" s="26">
        <f>G4691+'Lookup Tables'!$N$1</f>
        <v>0.44097222222222221</v>
      </c>
      <c r="I4691" s="26">
        <f>H4691+'Lookup Tables'!$N$1</f>
        <v>0.46180555555555552</v>
      </c>
      <c r="J4691" s="26">
        <f>I4691+'Lookup Tables'!$M$1</f>
        <v>0.47222222222222221</v>
      </c>
      <c r="K4691" s="26">
        <f>J4691+'Lookup Tables'!$M$1</f>
        <v>0.4826388888888889</v>
      </c>
      <c r="N4691">
        <f>MAX(F4688:M4688)-O4691</f>
        <v>26</v>
      </c>
      <c r="O4691" t="str">
        <f>RIGHT(E4688,3)</f>
        <v>364</v>
      </c>
    </row>
    <row r="4692" spans="1:16" ht="15.75" customHeight="1" x14ac:dyDescent="0.35">
      <c r="B4692" s="20" t="s">
        <v>251</v>
      </c>
      <c r="C4692" s="27">
        <v>0.2</v>
      </c>
      <c r="D4692" s="27">
        <v>0.5</v>
      </c>
      <c r="E4692" s="27"/>
      <c r="F4692" s="27"/>
      <c r="G4692" s="27"/>
      <c r="H4692" s="27"/>
      <c r="I4692" s="27"/>
      <c r="J4692" s="27"/>
      <c r="K4692" s="25"/>
      <c r="N4692" t="str">
        <f xml:space="preserve">  N4691 &amp; " degrees this time"</f>
        <v>26 degrees this time</v>
      </c>
    </row>
    <row r="4693" spans="1:16" ht="15.75" customHeight="1" x14ac:dyDescent="0.35">
      <c r="B4693" s="20" t="s">
        <v>252</v>
      </c>
      <c r="C4693" s="27">
        <v>0.9</v>
      </c>
      <c r="D4693" s="27">
        <v>0.8</v>
      </c>
      <c r="E4693" s="27">
        <v>0.7</v>
      </c>
      <c r="F4693" s="27"/>
      <c r="G4693" s="27"/>
      <c r="H4693" s="27"/>
      <c r="I4693" s="27"/>
      <c r="J4693" s="27"/>
      <c r="K4693" s="27"/>
    </row>
    <row r="4694" spans="1:16" ht="15.75" customHeight="1" x14ac:dyDescent="0.35">
      <c r="B4694" s="20"/>
      <c r="D4694" s="11"/>
      <c r="E4694" s="11"/>
      <c r="F4694" s="28"/>
      <c r="H4694" s="1"/>
    </row>
    <row r="4695" spans="1:16" ht="15.75" customHeight="1" x14ac:dyDescent="0.35">
      <c r="B4695" s="1" t="s">
        <v>385</v>
      </c>
      <c r="F4695" t="s">
        <v>263</v>
      </c>
      <c r="G4695" s="1"/>
      <c r="K4695" s="9" t="s">
        <v>557</v>
      </c>
      <c r="L4695" s="9"/>
      <c r="M4695" s="9"/>
    </row>
    <row r="4696" spans="1:16" ht="15.75" customHeight="1" x14ac:dyDescent="0.35">
      <c r="B4696" s="20" t="s">
        <v>264</v>
      </c>
      <c r="D4696" s="29"/>
      <c r="F4696" t="s">
        <v>265</v>
      </c>
      <c r="G4696" s="1"/>
      <c r="H4696" s="1"/>
      <c r="K4696" s="9" t="s">
        <v>386</v>
      </c>
      <c r="L4696" s="9"/>
      <c r="M4696" s="9"/>
    </row>
    <row r="4697" spans="1:16" ht="15.75" customHeight="1" x14ac:dyDescent="0.35">
      <c r="B4697" s="20" t="s">
        <v>267</v>
      </c>
      <c r="F4697" t="s">
        <v>268</v>
      </c>
      <c r="G4697" s="1"/>
      <c r="H4697" s="1"/>
      <c r="K4697" s="9" t="s">
        <v>254</v>
      </c>
      <c r="L4697" s="9"/>
      <c r="M4697" s="9"/>
    </row>
    <row r="4698" spans="1:16" ht="15.75" customHeight="1" x14ac:dyDescent="0.35">
      <c r="B4698" s="9"/>
      <c r="C4698" s="9"/>
      <c r="D4698" s="9"/>
      <c r="E4698" s="9"/>
      <c r="F4698" s="12"/>
      <c r="G4698" s="12"/>
      <c r="H4698" s="12"/>
      <c r="I4698" s="12"/>
      <c r="J4698" s="12"/>
      <c r="K4698" s="12"/>
      <c r="L4698" s="1"/>
    </row>
    <row r="4699" spans="1:16" ht="15.75" customHeight="1" x14ac:dyDescent="0.35">
      <c r="B4699" s="13"/>
      <c r="C4699" s="13"/>
      <c r="D4699" s="13"/>
      <c r="E4699" s="13"/>
      <c r="F4699" s="13"/>
      <c r="G4699" s="13"/>
      <c r="I4699" s="14"/>
    </row>
    <row r="4700" spans="1:16" x14ac:dyDescent="0.35">
      <c r="B4700" s="13" t="s">
        <v>5</v>
      </c>
      <c r="C4700" s="13" t="s">
        <v>1</v>
      </c>
      <c r="D4700" s="15" t="str">
        <f>VLOOKUP(A4701,Inventory!$A$4:$K$1139,7)</f>
        <v>Burman Coffee</v>
      </c>
      <c r="F4700" s="13" t="s">
        <v>235</v>
      </c>
      <c r="G4700" s="16"/>
      <c r="L4700" s="17"/>
      <c r="M4700" s="17"/>
    </row>
    <row r="4701" spans="1:16" x14ac:dyDescent="0.35">
      <c r="A4701">
        <v>136</v>
      </c>
      <c r="B4701" s="5">
        <v>43863</v>
      </c>
      <c r="C4701" s="15" t="str">
        <f>VLOOKUP(A4701,Inventory!$A$4:$K$1139,2)</f>
        <v>Indian Monsooned Malabar 2017</v>
      </c>
      <c r="F4701" s="18" t="s">
        <v>291</v>
      </c>
      <c r="G4701" s="2" t="s">
        <v>238</v>
      </c>
      <c r="L4701" s="17"/>
      <c r="M4701" s="17"/>
      <c r="P4701" s="8"/>
    </row>
    <row r="4702" spans="1:16" x14ac:dyDescent="0.35">
      <c r="K4702" s="9" t="s">
        <v>258</v>
      </c>
      <c r="L4702" s="19"/>
      <c r="M4702" s="19"/>
    </row>
    <row r="4703" spans="1:16" x14ac:dyDescent="0.35">
      <c r="B4703" s="20"/>
      <c r="C4703" s="11" t="s">
        <v>240</v>
      </c>
      <c r="D4703" s="11" t="s">
        <v>301</v>
      </c>
      <c r="E4703" s="11" t="s">
        <v>448</v>
      </c>
      <c r="F4703" s="11">
        <v>392</v>
      </c>
      <c r="G4703" s="11">
        <v>398</v>
      </c>
      <c r="H4703" s="11">
        <v>404</v>
      </c>
      <c r="I4703" s="11">
        <v>409</v>
      </c>
      <c r="J4703" s="11" t="s">
        <v>373</v>
      </c>
      <c r="K4703" s="11"/>
      <c r="L4703" s="11"/>
    </row>
    <row r="4704" spans="1:16" ht="15.75" customHeight="1" x14ac:dyDescent="0.35">
      <c r="B4704" s="20" t="s">
        <v>242</v>
      </c>
      <c r="C4704" s="30"/>
      <c r="D4704" s="30"/>
      <c r="E4704" s="23" t="s">
        <v>244</v>
      </c>
      <c r="F4704" s="23" t="s">
        <v>245</v>
      </c>
      <c r="G4704" s="23" t="s">
        <v>246</v>
      </c>
      <c r="H4704" s="23" t="s">
        <v>247</v>
      </c>
      <c r="I4704" s="23" t="s">
        <v>259</v>
      </c>
      <c r="J4704" s="23" t="s">
        <v>260</v>
      </c>
      <c r="K4704" s="23" t="s">
        <v>261</v>
      </c>
      <c r="L4704" s="23" t="s">
        <v>518</v>
      </c>
      <c r="O4704" s="4"/>
    </row>
    <row r="4705" spans="1:16" ht="1" customHeight="1" x14ac:dyDescent="0.35">
      <c r="B4705" s="24" t="s">
        <v>249</v>
      </c>
      <c r="C4705" s="25">
        <v>332</v>
      </c>
      <c r="D4705" s="25">
        <v>370</v>
      </c>
      <c r="E4705" s="25">
        <v>393</v>
      </c>
      <c r="F4705" s="25">
        <v>399</v>
      </c>
      <c r="G4705" s="25">
        <v>404</v>
      </c>
      <c r="H4705" s="25">
        <v>410</v>
      </c>
      <c r="I4705" s="25"/>
      <c r="J4705" s="25"/>
      <c r="K4705" s="25"/>
      <c r="L4705" s="25"/>
      <c r="O4705" t="e">
        <f>(O4703-3*O4702)/O4704</f>
        <v>#DIV/0!</v>
      </c>
    </row>
    <row r="4706" spans="1:16" ht="15.75" customHeight="1" x14ac:dyDescent="0.35">
      <c r="B4706" s="20" t="s">
        <v>250</v>
      </c>
      <c r="C4706" s="26">
        <v>0.25</v>
      </c>
      <c r="D4706" s="26">
        <v>0.34722222222222227</v>
      </c>
      <c r="E4706" s="26">
        <v>0.44444444444444442</v>
      </c>
      <c r="F4706" s="26">
        <f>E4706+'Lookup Tables'!$N$1</f>
        <v>0.46527777777777773</v>
      </c>
      <c r="G4706" s="26">
        <f>F4706+'Lookup Tables'!$N$1</f>
        <v>0.48611111111111105</v>
      </c>
      <c r="H4706" s="26">
        <f>G4706+'Lookup Tables'!$N$1</f>
        <v>0.50694444444444442</v>
      </c>
      <c r="I4706" s="26">
        <f>H4706+'Lookup Tables'!$N$1</f>
        <v>0.52777777777777779</v>
      </c>
      <c r="J4706" s="26">
        <f>I4706+'Lookup Tables'!$S$1</f>
        <v>0.53819444444444442</v>
      </c>
      <c r="K4706" s="26">
        <f>J4706+'Lookup Tables'!$S$1</f>
        <v>0.54861111111111105</v>
      </c>
      <c r="L4706" s="26">
        <f>K4706+'Lookup Tables'!$S$1</f>
        <v>0.55902777777777768</v>
      </c>
      <c r="N4706">
        <f>MAX(F4703:M4703)-O4706</f>
        <v>25</v>
      </c>
      <c r="O4706" t="str">
        <f>RIGHT(E4703,3)</f>
        <v>384</v>
      </c>
    </row>
    <row r="4707" spans="1:16" ht="15.75" customHeight="1" x14ac:dyDescent="0.35">
      <c r="B4707" s="20" t="s">
        <v>251</v>
      </c>
      <c r="C4707" s="27">
        <v>0.2</v>
      </c>
      <c r="D4707" s="27">
        <v>0.5</v>
      </c>
      <c r="E4707" s="25"/>
      <c r="F4707" s="25"/>
      <c r="G4707" s="27"/>
      <c r="H4707" s="27" t="s">
        <v>274</v>
      </c>
      <c r="I4707" s="27"/>
      <c r="J4707" s="27"/>
      <c r="K4707" s="27"/>
      <c r="L4707" s="27"/>
      <c r="N4707" t="str">
        <f xml:space="preserve">  N4706 &amp; " degrees this time"</f>
        <v>25 degrees this time</v>
      </c>
    </row>
    <row r="4708" spans="1:16" ht="15.75" customHeight="1" x14ac:dyDescent="0.35">
      <c r="B4708" s="20" t="s">
        <v>252</v>
      </c>
      <c r="C4708" s="27">
        <v>0.9</v>
      </c>
      <c r="D4708" s="27">
        <v>0.5</v>
      </c>
      <c r="E4708" s="27">
        <v>0.5</v>
      </c>
      <c r="F4708" s="27">
        <v>0.4</v>
      </c>
      <c r="G4708" s="27"/>
      <c r="H4708" s="27" t="s">
        <v>274</v>
      </c>
      <c r="I4708" s="27"/>
      <c r="J4708" s="27"/>
      <c r="K4708" s="27"/>
      <c r="L4708" s="27"/>
    </row>
    <row r="4709" spans="1:16" ht="15.75" customHeight="1" x14ac:dyDescent="0.35">
      <c r="B4709" s="20"/>
      <c r="D4709" s="11"/>
      <c r="E4709" s="11"/>
      <c r="F4709" s="11"/>
      <c r="G4709" s="11"/>
      <c r="H4709" s="13" t="s">
        <v>409</v>
      </c>
    </row>
    <row r="4710" spans="1:16" ht="15.75" customHeight="1" x14ac:dyDescent="0.35">
      <c r="G4710" s="1" t="s">
        <v>347</v>
      </c>
      <c r="K4710" s="32" t="s">
        <v>558</v>
      </c>
      <c r="L4710" s="9"/>
      <c r="M4710" s="9"/>
    </row>
    <row r="4711" spans="1:16" ht="15.75" customHeight="1" x14ac:dyDescent="0.35">
      <c r="B4711" s="20"/>
      <c r="G4711" s="1"/>
      <c r="H4711" s="1"/>
      <c r="K4711" s="9" t="s">
        <v>559</v>
      </c>
      <c r="L4711" s="9"/>
      <c r="M4711" s="9"/>
    </row>
    <row r="4712" spans="1:16" ht="15.75" customHeight="1" x14ac:dyDescent="0.35">
      <c r="B4712" s="20"/>
      <c r="G4712" s="1"/>
      <c r="H4712" s="1"/>
      <c r="K4712" s="9" t="s">
        <v>254</v>
      </c>
      <c r="L4712" s="9"/>
      <c r="M4712" s="9"/>
    </row>
    <row r="4713" spans="1:16" ht="15.75" customHeight="1" x14ac:dyDescent="0.35">
      <c r="B4713" s="9"/>
      <c r="C4713" s="9"/>
      <c r="D4713" s="9"/>
      <c r="E4713" s="9"/>
      <c r="F4713" s="12"/>
      <c r="G4713" s="12"/>
      <c r="H4713" s="12"/>
      <c r="I4713" s="12"/>
      <c r="J4713" s="12"/>
      <c r="K4713" s="12"/>
      <c r="L4713" s="1"/>
    </row>
    <row r="4714" spans="1:16" ht="15.75" customHeight="1" x14ac:dyDescent="0.35">
      <c r="B4714" s="13"/>
      <c r="C4714" s="13"/>
      <c r="D4714" s="13"/>
      <c r="E4714" s="13"/>
      <c r="F4714" s="13"/>
      <c r="H4714" s="16"/>
      <c r="I4714" s="14" t="s">
        <v>255</v>
      </c>
    </row>
    <row r="4715" spans="1:16" x14ac:dyDescent="0.35">
      <c r="B4715" s="13" t="s">
        <v>5</v>
      </c>
      <c r="C4715" s="13" t="s">
        <v>1</v>
      </c>
      <c r="D4715" s="15" t="e">
        <f>VLOOKUP(A4716,Inventory!$A$4:$K$1139,7)</f>
        <v>#N/A</v>
      </c>
      <c r="F4715" s="13" t="s">
        <v>235</v>
      </c>
      <c r="G4715" s="16"/>
      <c r="J4715" s="8"/>
      <c r="K4715" s="17"/>
      <c r="L4715" s="17"/>
      <c r="M4715" s="17"/>
    </row>
    <row r="4716" spans="1:16" x14ac:dyDescent="0.35">
      <c r="A4716">
        <v>0</v>
      </c>
      <c r="B4716" s="5">
        <v>43863</v>
      </c>
      <c r="C4716" s="15" t="s">
        <v>364</v>
      </c>
      <c r="F4716" s="51" t="s">
        <v>346</v>
      </c>
      <c r="G4716" s="2" t="s">
        <v>238</v>
      </c>
      <c r="L4716" s="17"/>
      <c r="M4716" s="17"/>
      <c r="P4716" s="8"/>
    </row>
    <row r="4717" spans="1:16" x14ac:dyDescent="0.35">
      <c r="B4717" s="13"/>
      <c r="C4717" s="13"/>
      <c r="D4717" s="15"/>
      <c r="F4717" s="13"/>
      <c r="G4717" s="16"/>
      <c r="L4717" s="19"/>
      <c r="M4717" s="19"/>
    </row>
    <row r="4718" spans="1:16" x14ac:dyDescent="0.35">
      <c r="B4718" s="20"/>
      <c r="C4718" s="11" t="s">
        <v>240</v>
      </c>
      <c r="D4718" s="11" t="s">
        <v>272</v>
      </c>
      <c r="E4718" s="11" t="s">
        <v>319</v>
      </c>
      <c r="F4718" s="11">
        <v>380</v>
      </c>
      <c r="G4718" s="11">
        <v>388</v>
      </c>
      <c r="H4718" s="11">
        <v>397</v>
      </c>
      <c r="I4718" s="11">
        <v>404</v>
      </c>
      <c r="J4718" s="11">
        <v>407</v>
      </c>
      <c r="K4718" s="11"/>
      <c r="L4718" s="11"/>
    </row>
    <row r="4719" spans="1:16" ht="15.75" customHeight="1" x14ac:dyDescent="0.35">
      <c r="B4719" s="20" t="s">
        <v>242</v>
      </c>
      <c r="C4719" s="30"/>
      <c r="D4719" s="30"/>
      <c r="E4719" s="23" t="s">
        <v>244</v>
      </c>
      <c r="F4719" s="23" t="s">
        <v>245</v>
      </c>
      <c r="G4719" s="23" t="s">
        <v>246</v>
      </c>
      <c r="H4719" s="23" t="s">
        <v>247</v>
      </c>
      <c r="I4719" s="23" t="s">
        <v>259</v>
      </c>
      <c r="J4719" s="23" t="s">
        <v>260</v>
      </c>
      <c r="O4719" s="4"/>
    </row>
    <row r="4720" spans="1:16" ht="1" customHeight="1" x14ac:dyDescent="0.35">
      <c r="B4720" s="24" t="s">
        <v>249</v>
      </c>
      <c r="C4720" s="25"/>
      <c r="D4720" s="25"/>
      <c r="E4720" s="25"/>
      <c r="F4720" s="25"/>
      <c r="G4720" s="25"/>
      <c r="H4720" s="25"/>
      <c r="I4720" s="25"/>
      <c r="O4720" t="e">
        <f>(O4718-3*O4717)/O4719</f>
        <v>#DIV/0!</v>
      </c>
    </row>
    <row r="4721" spans="1:16" ht="15.75" customHeight="1" x14ac:dyDescent="0.35">
      <c r="B4721" s="20" t="s">
        <v>250</v>
      </c>
      <c r="C4721" s="26">
        <v>0.22916666666666666</v>
      </c>
      <c r="D4721" s="26">
        <v>0.3125</v>
      </c>
      <c r="E4721" s="26">
        <v>0.41319444444444442</v>
      </c>
      <c r="F4721" s="26">
        <f>E4721+'Lookup Tables'!$N$1</f>
        <v>0.43402777777777773</v>
      </c>
      <c r="G4721" s="26">
        <f>F4721+'Lookup Tables'!$N$1</f>
        <v>0.45486111111111105</v>
      </c>
      <c r="H4721" s="26">
        <f>G4721+'Lookup Tables'!$N$1</f>
        <v>0.47569444444444436</v>
      </c>
      <c r="I4721" s="26">
        <f>H4721+'Lookup Tables'!$N$1</f>
        <v>0.49652777777777768</v>
      </c>
      <c r="J4721" s="26">
        <f>I4721+'Lookup Tables'!$M$1</f>
        <v>0.50694444444444431</v>
      </c>
      <c r="N4721">
        <f>MAX(F4718:M4718)-O4721</f>
        <v>34</v>
      </c>
      <c r="O4721" t="str">
        <f>RIGHT(E4718,3)</f>
        <v>373</v>
      </c>
    </row>
    <row r="4722" spans="1:16" ht="15.75" customHeight="1" x14ac:dyDescent="0.35">
      <c r="B4722" s="20" t="s">
        <v>251</v>
      </c>
      <c r="C4722" s="27">
        <v>0.2</v>
      </c>
      <c r="D4722" s="27">
        <v>0.5</v>
      </c>
      <c r="E4722" s="27"/>
      <c r="F4722" s="27"/>
      <c r="G4722" s="27" t="s">
        <v>274</v>
      </c>
      <c r="H4722" s="27"/>
      <c r="I4722" s="27"/>
      <c r="J4722" s="27"/>
      <c r="N4722" t="str">
        <f xml:space="preserve">  N4721 &amp; " degrees this time"</f>
        <v>34 degrees this time</v>
      </c>
    </row>
    <row r="4723" spans="1:16" ht="15.75" customHeight="1" x14ac:dyDescent="0.35">
      <c r="B4723" s="20" t="s">
        <v>252</v>
      </c>
      <c r="C4723" s="27">
        <v>0.9</v>
      </c>
      <c r="D4723" s="27">
        <v>0.8</v>
      </c>
      <c r="E4723" s="27">
        <v>0.7</v>
      </c>
      <c r="F4723" s="27">
        <v>0.4</v>
      </c>
      <c r="G4723" s="27" t="s">
        <v>274</v>
      </c>
      <c r="H4723" s="27"/>
      <c r="I4723" s="27"/>
      <c r="J4723" s="27" t="s">
        <v>275</v>
      </c>
    </row>
    <row r="4724" spans="1:16" ht="15.75" customHeight="1" x14ac:dyDescent="0.35">
      <c r="B4724" s="20"/>
      <c r="D4724" s="11"/>
      <c r="E4724" s="11"/>
      <c r="F4724" s="11"/>
      <c r="G4724" s="13"/>
      <c r="H4724" s="13"/>
      <c r="I4724" s="13"/>
      <c r="J4724" s="37"/>
      <c r="L4724" s="35"/>
    </row>
    <row r="4725" spans="1:16" ht="15.75" customHeight="1" x14ac:dyDescent="0.35">
      <c r="G4725" s="1" t="s">
        <v>366</v>
      </c>
      <c r="H4725" s="1"/>
      <c r="K4725" s="9" t="s">
        <v>367</v>
      </c>
      <c r="L4725" s="9"/>
      <c r="M4725" s="9"/>
    </row>
    <row r="4726" spans="1:16" ht="15.75" customHeight="1" x14ac:dyDescent="0.35">
      <c r="B4726" s="20"/>
      <c r="G4726" s="1"/>
      <c r="H4726" s="1"/>
      <c r="K4726" s="32" t="s">
        <v>368</v>
      </c>
      <c r="L4726" s="9"/>
      <c r="M4726" s="9"/>
    </row>
    <row r="4727" spans="1:16" ht="15.75" customHeight="1" x14ac:dyDescent="0.35">
      <c r="B4727" s="20"/>
      <c r="G4727" s="1"/>
      <c r="H4727" s="1"/>
      <c r="K4727" s="9" t="s">
        <v>254</v>
      </c>
      <c r="L4727" s="9"/>
      <c r="M4727" s="9"/>
    </row>
    <row r="4728" spans="1:16" ht="15.75" customHeight="1" x14ac:dyDescent="0.35">
      <c r="B4728" s="9"/>
      <c r="C4728" s="9"/>
      <c r="D4728" s="9"/>
      <c r="E4728" s="9"/>
      <c r="F4728" s="12"/>
      <c r="G4728" s="12"/>
      <c r="H4728" s="12"/>
      <c r="I4728" s="12"/>
      <c r="J4728" s="12"/>
      <c r="K4728" s="12"/>
      <c r="L4728" s="1"/>
    </row>
    <row r="4729" spans="1:16" ht="15.75" customHeight="1" x14ac:dyDescent="0.35">
      <c r="B4729" s="13"/>
      <c r="C4729" s="13"/>
      <c r="D4729" s="15"/>
      <c r="G4729" s="16"/>
      <c r="H4729" s="14"/>
    </row>
    <row r="4730" spans="1:16" x14ac:dyDescent="0.35">
      <c r="B4730" s="13" t="s">
        <v>5</v>
      </c>
      <c r="C4730" s="13" t="s">
        <v>1</v>
      </c>
      <c r="D4730" s="15" t="str">
        <f>VLOOKUP(A4731,Inventory!$A$4:$K$1139,7)</f>
        <v xml:space="preserve">GCBC                               </v>
      </c>
      <c r="F4730" s="13" t="s">
        <v>235</v>
      </c>
      <c r="G4730" s="16"/>
      <c r="L4730" s="17"/>
      <c r="M4730" s="17"/>
    </row>
    <row r="4731" spans="1:16" x14ac:dyDescent="0.35">
      <c r="A4731">
        <v>134</v>
      </c>
      <c r="B4731" s="5">
        <v>43862</v>
      </c>
      <c r="C4731" s="15" t="str">
        <f>VLOOKUP(A4731,Inventory!$A$4:$K$1139,2)</f>
        <v>Brazil Legender Estate Peaberry 2017</v>
      </c>
      <c r="F4731" s="34" t="s">
        <v>279</v>
      </c>
      <c r="G4731" s="2" t="s">
        <v>270</v>
      </c>
      <c r="L4731" s="17"/>
      <c r="M4731" s="17"/>
      <c r="P4731" s="8"/>
    </row>
    <row r="4732" spans="1:16" x14ac:dyDescent="0.35">
      <c r="B4732" s="13"/>
      <c r="C4732" s="13"/>
      <c r="D4732" s="15"/>
      <c r="E4732" s="15"/>
      <c r="F4732" s="15"/>
      <c r="G4732" s="15"/>
      <c r="L4732" s="19"/>
      <c r="M4732" s="19"/>
    </row>
    <row r="4733" spans="1:16" x14ac:dyDescent="0.35">
      <c r="B4733" s="20"/>
      <c r="C4733" s="11" t="s">
        <v>240</v>
      </c>
      <c r="D4733" s="11" t="s">
        <v>301</v>
      </c>
      <c r="E4733" s="11" t="s">
        <v>452</v>
      </c>
      <c r="F4733" s="11">
        <v>388</v>
      </c>
      <c r="G4733" s="11">
        <v>396</v>
      </c>
      <c r="H4733" s="11">
        <v>405</v>
      </c>
      <c r="I4733" s="11">
        <v>410</v>
      </c>
      <c r="J4733" s="11" t="s">
        <v>373</v>
      </c>
    </row>
    <row r="4734" spans="1:16" ht="15.75" customHeight="1" x14ac:dyDescent="0.35">
      <c r="B4734" s="20" t="s">
        <v>242</v>
      </c>
      <c r="C4734" s="21"/>
      <c r="D4734" s="22" t="s">
        <v>521</v>
      </c>
      <c r="E4734" s="23" t="s">
        <v>244</v>
      </c>
      <c r="F4734" s="23" t="s">
        <v>245</v>
      </c>
      <c r="G4734" s="23" t="s">
        <v>246</v>
      </c>
      <c r="H4734" s="23" t="s">
        <v>247</v>
      </c>
      <c r="I4734" s="23" t="s">
        <v>259</v>
      </c>
      <c r="J4734" s="23" t="s">
        <v>260</v>
      </c>
      <c r="O4734" s="4"/>
    </row>
    <row r="4735" spans="1:16" ht="1" customHeight="1" x14ac:dyDescent="0.35">
      <c r="B4735" s="24" t="s">
        <v>249</v>
      </c>
      <c r="C4735" s="25"/>
      <c r="D4735" s="25"/>
      <c r="E4735" s="25"/>
      <c r="F4735" s="25"/>
      <c r="G4735" s="25"/>
      <c r="H4735" s="25"/>
      <c r="I4735" s="25"/>
      <c r="O4735" t="e">
        <f>(O4733-3*O4732)/O4734</f>
        <v>#DIV/0!</v>
      </c>
    </row>
    <row r="4736" spans="1:16" ht="15.75" customHeight="1" x14ac:dyDescent="0.35">
      <c r="B4736" s="20" t="s">
        <v>250</v>
      </c>
      <c r="C4736" s="26">
        <v>0.24652777777777779</v>
      </c>
      <c r="D4736" s="26">
        <v>0.35069444444444442</v>
      </c>
      <c r="E4736" s="26">
        <v>0.4548611111111111</v>
      </c>
      <c r="F4736" s="26">
        <f>E4736+'Lookup Tables'!$N$1</f>
        <v>0.47569444444444442</v>
      </c>
      <c r="G4736" s="26">
        <f>F4736+'Lookup Tables'!$N$1</f>
        <v>0.49652777777777773</v>
      </c>
      <c r="H4736" s="26">
        <f>G4736+'Lookup Tables'!$N$1</f>
        <v>0.51736111111111105</v>
      </c>
      <c r="I4736" s="26">
        <f>H4736+'Lookup Tables'!$N$1</f>
        <v>0.53819444444444442</v>
      </c>
      <c r="J4736" s="26">
        <f>I4736+'Lookup Tables'!$M$1</f>
        <v>0.54861111111111105</v>
      </c>
      <c r="N4736">
        <f>MAX(F4733:M4733)-O4736</f>
        <v>29</v>
      </c>
      <c r="O4736" t="str">
        <f>RIGHT(E4733,3)</f>
        <v>381</v>
      </c>
    </row>
    <row r="4737" spans="1:16" ht="15.75" customHeight="1" x14ac:dyDescent="0.35">
      <c r="B4737" s="20" t="s">
        <v>251</v>
      </c>
      <c r="C4737" s="27">
        <v>0.2</v>
      </c>
      <c r="D4737" s="27">
        <v>0.5</v>
      </c>
      <c r="E4737" s="27"/>
      <c r="F4737" s="27"/>
      <c r="G4737" s="25"/>
      <c r="H4737" s="25"/>
      <c r="I4737" s="25"/>
      <c r="J4737" s="27"/>
      <c r="N4737" t="str">
        <f xml:space="preserve">  N4736 &amp; " degrees this time"</f>
        <v>29 degrees this time</v>
      </c>
    </row>
    <row r="4738" spans="1:16" ht="15.75" customHeight="1" x14ac:dyDescent="0.35">
      <c r="B4738" s="20" t="s">
        <v>252</v>
      </c>
      <c r="C4738" s="27">
        <v>0.9</v>
      </c>
      <c r="D4738" s="27">
        <v>0.6</v>
      </c>
      <c r="E4738" s="27">
        <v>0.5</v>
      </c>
      <c r="F4738" s="27"/>
      <c r="G4738" s="27"/>
      <c r="H4738" s="25"/>
      <c r="I4738" s="27"/>
      <c r="J4738" s="27"/>
    </row>
    <row r="4739" spans="1:16" ht="15.75" customHeight="1" x14ac:dyDescent="0.35">
      <c r="B4739" s="20"/>
      <c r="D4739" s="11"/>
      <c r="E4739" s="11"/>
      <c r="F4739" s="11"/>
    </row>
    <row r="4740" spans="1:16" ht="15.75" customHeight="1" x14ac:dyDescent="0.35">
      <c r="G4740" s="1" t="s">
        <v>393</v>
      </c>
      <c r="H4740" s="1"/>
      <c r="K4740" s="32" t="s">
        <v>560</v>
      </c>
      <c r="L4740" s="9"/>
      <c r="M4740" s="9"/>
    </row>
    <row r="4741" spans="1:16" ht="15.75" customHeight="1" x14ac:dyDescent="0.35">
      <c r="B4741" s="20"/>
      <c r="G4741" s="1"/>
      <c r="H4741" s="1"/>
      <c r="K4741" s="9"/>
      <c r="L4741" s="9"/>
      <c r="M4741" s="9"/>
    </row>
    <row r="4742" spans="1:16" ht="15.75" customHeight="1" x14ac:dyDescent="0.35">
      <c r="B4742" s="20"/>
      <c r="G4742" s="1"/>
      <c r="H4742" s="1"/>
      <c r="K4742" s="9" t="s">
        <v>254</v>
      </c>
      <c r="L4742" s="9"/>
      <c r="M4742" s="9"/>
    </row>
    <row r="4743" spans="1:16" ht="15.75" customHeight="1" x14ac:dyDescent="0.35">
      <c r="B4743" s="9"/>
      <c r="C4743" s="9"/>
      <c r="D4743" s="9"/>
      <c r="E4743" s="9"/>
      <c r="F4743" s="12"/>
      <c r="G4743" s="12"/>
      <c r="H4743" s="12"/>
      <c r="I4743" s="12"/>
      <c r="J4743" s="12"/>
      <c r="K4743" s="12"/>
      <c r="L4743" s="1"/>
    </row>
    <row r="4744" spans="1:16" ht="15.75" customHeight="1" x14ac:dyDescent="0.35">
      <c r="B4744" s="13"/>
      <c r="C4744" s="13"/>
      <c r="D4744" s="15"/>
      <c r="G4744" s="16"/>
      <c r="H4744" s="14" t="s">
        <v>255</v>
      </c>
    </row>
    <row r="4745" spans="1:16" x14ac:dyDescent="0.35">
      <c r="B4745" s="13" t="s">
        <v>5</v>
      </c>
      <c r="C4745" s="13" t="s">
        <v>1</v>
      </c>
      <c r="D4745" s="15" t="str">
        <f>VLOOKUP(A4746,Inventory!$A$4:$K$1139,7)</f>
        <v xml:space="preserve">GCBC                               </v>
      </c>
      <c r="F4745" s="13" t="s">
        <v>235</v>
      </c>
      <c r="G4745" s="16"/>
      <c r="L4745" s="17"/>
      <c r="M4745" s="17"/>
    </row>
    <row r="4746" spans="1:16" x14ac:dyDescent="0.35">
      <c r="A4746">
        <v>134</v>
      </c>
      <c r="B4746" s="5">
        <v>43862</v>
      </c>
      <c r="C4746" s="15" t="str">
        <f>VLOOKUP(A4746,Inventory!$A$4:$K$1139,2)</f>
        <v>Brazil Legender Estate Peaberry 2017</v>
      </c>
      <c r="F4746" s="18" t="s">
        <v>291</v>
      </c>
      <c r="G4746" s="2" t="s">
        <v>270</v>
      </c>
      <c r="I4746" s="9" t="s">
        <v>365</v>
      </c>
      <c r="L4746" s="17"/>
      <c r="M4746" s="17"/>
      <c r="P4746" s="8"/>
    </row>
    <row r="4747" spans="1:16" x14ac:dyDescent="0.35">
      <c r="B4747" s="13"/>
      <c r="C4747" s="13"/>
      <c r="D4747" s="15"/>
      <c r="E4747" s="15"/>
      <c r="F4747" s="15"/>
      <c r="G4747" s="15"/>
      <c r="L4747" s="19"/>
      <c r="M4747" s="19"/>
    </row>
    <row r="4748" spans="1:16" x14ac:dyDescent="0.35">
      <c r="B4748" s="20"/>
      <c r="C4748" s="11" t="s">
        <v>240</v>
      </c>
      <c r="D4748" s="11" t="s">
        <v>301</v>
      </c>
      <c r="E4748" s="11" t="s">
        <v>452</v>
      </c>
      <c r="F4748" s="11">
        <v>387</v>
      </c>
      <c r="G4748" s="11">
        <v>393</v>
      </c>
      <c r="H4748" s="11">
        <v>399</v>
      </c>
      <c r="I4748" s="11">
        <v>406</v>
      </c>
      <c r="J4748" s="11">
        <v>408</v>
      </c>
      <c r="K4748" s="11">
        <v>411</v>
      </c>
      <c r="L4748" s="11"/>
    </row>
    <row r="4749" spans="1:16" ht="15.75" customHeight="1" x14ac:dyDescent="0.35">
      <c r="B4749" s="20" t="s">
        <v>242</v>
      </c>
      <c r="C4749" s="21"/>
      <c r="D4749" s="22" t="s">
        <v>521</v>
      </c>
      <c r="E4749" s="23" t="s">
        <v>244</v>
      </c>
      <c r="F4749" s="23" t="s">
        <v>245</v>
      </c>
      <c r="G4749" s="23" t="s">
        <v>246</v>
      </c>
      <c r="H4749" s="23" t="s">
        <v>247</v>
      </c>
      <c r="I4749" s="23" t="s">
        <v>259</v>
      </c>
      <c r="J4749" s="23" t="s">
        <v>260</v>
      </c>
      <c r="K4749" s="23" t="s">
        <v>261</v>
      </c>
      <c r="O4749" s="4"/>
    </row>
    <row r="4750" spans="1:16" ht="1" customHeight="1" x14ac:dyDescent="0.35">
      <c r="B4750" s="24" t="s">
        <v>249</v>
      </c>
      <c r="C4750" s="25"/>
      <c r="D4750" s="25"/>
      <c r="E4750" s="25"/>
      <c r="F4750" s="25"/>
      <c r="G4750" s="25"/>
      <c r="H4750" s="25"/>
      <c r="I4750" s="25"/>
      <c r="O4750" t="e">
        <f>(O4748-3*O4747)/O4749</f>
        <v>#DIV/0!</v>
      </c>
    </row>
    <row r="4751" spans="1:16" ht="15.75" customHeight="1" x14ac:dyDescent="0.35">
      <c r="B4751" s="20" t="s">
        <v>250</v>
      </c>
      <c r="C4751" s="26">
        <v>0.21527777777777779</v>
      </c>
      <c r="D4751" s="26">
        <v>0.31944444444444448</v>
      </c>
      <c r="E4751" s="26">
        <v>0.44097222222222227</v>
      </c>
      <c r="F4751" s="26">
        <f>E4751+'Lookup Tables'!$N$1</f>
        <v>0.46180555555555558</v>
      </c>
      <c r="G4751" s="26">
        <f>F4751+'Lookup Tables'!$N$1</f>
        <v>0.4826388888888889</v>
      </c>
      <c r="H4751" s="26">
        <f>G4751+'Lookup Tables'!$N$1</f>
        <v>0.50347222222222221</v>
      </c>
      <c r="I4751" s="26">
        <f>H4751+'Lookup Tables'!$N$1</f>
        <v>0.52430555555555558</v>
      </c>
      <c r="J4751" s="26">
        <f>I4751+'Lookup Tables'!$M$1</f>
        <v>0.53472222222222221</v>
      </c>
      <c r="K4751" s="26">
        <f>J4751+'Lookup Tables'!$M$1</f>
        <v>0.54513888888888884</v>
      </c>
      <c r="N4751">
        <f>MAX(F4748:M4748)-O4751</f>
        <v>30</v>
      </c>
      <c r="O4751" t="str">
        <f>RIGHT(E4748,3)</f>
        <v>381</v>
      </c>
    </row>
    <row r="4752" spans="1:16" ht="15.75" customHeight="1" x14ac:dyDescent="0.35">
      <c r="B4752" s="20" t="s">
        <v>251</v>
      </c>
      <c r="C4752" s="27">
        <v>0.2</v>
      </c>
      <c r="D4752" s="27">
        <v>0.5</v>
      </c>
      <c r="E4752" s="27"/>
      <c r="F4752" s="27"/>
      <c r="G4752" s="25"/>
      <c r="H4752" s="25"/>
      <c r="I4752" s="25"/>
      <c r="J4752" s="27"/>
      <c r="K4752" s="27"/>
      <c r="N4752" t="str">
        <f xml:space="preserve">  N4751 &amp; " degrees this time"</f>
        <v>30 degrees this time</v>
      </c>
    </row>
    <row r="4753" spans="1:16" ht="15.75" customHeight="1" x14ac:dyDescent="0.35">
      <c r="B4753" s="20" t="s">
        <v>252</v>
      </c>
      <c r="C4753" s="27">
        <v>0.9</v>
      </c>
      <c r="D4753" s="27">
        <v>0.6</v>
      </c>
      <c r="E4753" s="27">
        <v>0.4</v>
      </c>
      <c r="F4753" s="27">
        <v>0.3</v>
      </c>
      <c r="G4753" s="27"/>
      <c r="H4753" s="25"/>
      <c r="I4753" s="27"/>
      <c r="J4753" s="27"/>
      <c r="K4753" s="27" t="s">
        <v>275</v>
      </c>
    </row>
    <row r="4754" spans="1:16" ht="15.75" customHeight="1" x14ac:dyDescent="0.35">
      <c r="B4754" s="20"/>
      <c r="D4754" s="11"/>
      <c r="E4754" s="11"/>
      <c r="F4754" s="11"/>
    </row>
    <row r="4755" spans="1:16" ht="15.75" customHeight="1" x14ac:dyDescent="0.35">
      <c r="G4755" s="1" t="s">
        <v>393</v>
      </c>
      <c r="H4755" s="1"/>
      <c r="K4755" s="9" t="s">
        <v>394</v>
      </c>
      <c r="L4755" s="9"/>
      <c r="M4755" s="9"/>
    </row>
    <row r="4756" spans="1:16" ht="15.75" customHeight="1" x14ac:dyDescent="0.35">
      <c r="B4756" s="20"/>
      <c r="G4756" s="1"/>
      <c r="H4756" s="1"/>
      <c r="K4756" s="9"/>
      <c r="L4756" s="9"/>
      <c r="M4756" s="9"/>
    </row>
    <row r="4757" spans="1:16" ht="15.75" customHeight="1" x14ac:dyDescent="0.35">
      <c r="B4757" s="20"/>
      <c r="G4757" s="1"/>
      <c r="H4757" s="1"/>
      <c r="K4757" s="9" t="s">
        <v>254</v>
      </c>
      <c r="L4757" s="9"/>
      <c r="M4757" s="9"/>
    </row>
    <row r="4758" spans="1:16" ht="15.75" customHeight="1" x14ac:dyDescent="0.35">
      <c r="B4758" s="9"/>
      <c r="C4758" s="9"/>
      <c r="D4758" s="9"/>
      <c r="E4758" s="9"/>
      <c r="F4758" s="12"/>
      <c r="G4758" s="12"/>
      <c r="H4758" s="12"/>
      <c r="I4758" s="12"/>
      <c r="J4758" s="12"/>
      <c r="K4758" s="12"/>
      <c r="L4758" s="1"/>
    </row>
    <row r="4759" spans="1:16" ht="15.75" customHeight="1" x14ac:dyDescent="0.35">
      <c r="B4759" s="13"/>
      <c r="C4759" s="13"/>
      <c r="D4759" s="13"/>
      <c r="E4759" s="13"/>
      <c r="F4759" s="13"/>
      <c r="G4759" s="13"/>
      <c r="I4759" s="14"/>
    </row>
    <row r="4760" spans="1:16" x14ac:dyDescent="0.35">
      <c r="B4760" s="13" t="s">
        <v>5</v>
      </c>
      <c r="C4760" s="13" t="s">
        <v>1</v>
      </c>
      <c r="D4760" s="15" t="str">
        <f>VLOOKUP(A4761,Inventory!$A$4:$K$1139,7)</f>
        <v>Burman Coffee</v>
      </c>
      <c r="F4760" s="13" t="s">
        <v>235</v>
      </c>
      <c r="G4760" s="16"/>
      <c r="L4760" s="17"/>
      <c r="M4760" s="17"/>
    </row>
    <row r="4761" spans="1:16" x14ac:dyDescent="0.35">
      <c r="A4761">
        <v>136</v>
      </c>
      <c r="B4761" s="5">
        <v>43860</v>
      </c>
      <c r="C4761" s="15" t="str">
        <f>VLOOKUP(A4761,Inventory!$A$4:$K$1139,2)</f>
        <v>Indian Monsooned Malabar 2017</v>
      </c>
      <c r="F4761" s="18" t="s">
        <v>291</v>
      </c>
      <c r="G4761" s="2" t="s">
        <v>238</v>
      </c>
      <c r="L4761" s="17"/>
      <c r="M4761" s="17"/>
      <c r="P4761" s="8"/>
    </row>
    <row r="4762" spans="1:16" x14ac:dyDescent="0.35">
      <c r="K4762" s="9" t="s">
        <v>258</v>
      </c>
      <c r="L4762" s="19"/>
      <c r="M4762" s="19"/>
    </row>
    <row r="4763" spans="1:16" x14ac:dyDescent="0.35">
      <c r="B4763" s="20"/>
      <c r="C4763" s="11" t="s">
        <v>240</v>
      </c>
      <c r="D4763" s="11" t="s">
        <v>301</v>
      </c>
      <c r="E4763" s="11" t="s">
        <v>561</v>
      </c>
      <c r="F4763" s="11"/>
      <c r="G4763" s="11"/>
      <c r="H4763" s="11"/>
      <c r="I4763" s="11"/>
      <c r="J4763" s="11"/>
      <c r="K4763" s="11"/>
      <c r="L4763" s="11"/>
    </row>
    <row r="4764" spans="1:16" ht="15.75" customHeight="1" x14ac:dyDescent="0.35">
      <c r="B4764" s="20" t="s">
        <v>242</v>
      </c>
      <c r="C4764" s="30"/>
      <c r="D4764" s="30"/>
      <c r="E4764" s="23" t="s">
        <v>244</v>
      </c>
      <c r="F4764" s="23" t="s">
        <v>245</v>
      </c>
      <c r="G4764" s="23" t="s">
        <v>246</v>
      </c>
      <c r="H4764" s="23" t="s">
        <v>247</v>
      </c>
      <c r="I4764" s="23" t="s">
        <v>259</v>
      </c>
      <c r="J4764" s="23" t="s">
        <v>260</v>
      </c>
      <c r="K4764" s="23" t="s">
        <v>261</v>
      </c>
      <c r="L4764" s="23" t="s">
        <v>518</v>
      </c>
      <c r="O4764" s="4"/>
    </row>
    <row r="4765" spans="1:16" ht="1" customHeight="1" x14ac:dyDescent="0.35">
      <c r="B4765" s="24" t="s">
        <v>249</v>
      </c>
      <c r="C4765" s="25">
        <v>332</v>
      </c>
      <c r="D4765" s="25">
        <v>370</v>
      </c>
      <c r="E4765" s="25">
        <v>393</v>
      </c>
      <c r="F4765" s="25">
        <v>399</v>
      </c>
      <c r="G4765" s="25">
        <v>404</v>
      </c>
      <c r="H4765" s="25">
        <v>410</v>
      </c>
      <c r="I4765" s="25"/>
      <c r="J4765" s="25"/>
      <c r="K4765" s="25"/>
      <c r="L4765" s="25"/>
      <c r="O4765" t="e">
        <f>(O4763-3*O4762)/O4764</f>
        <v>#DIV/0!</v>
      </c>
    </row>
    <row r="4766" spans="1:16" ht="15.75" customHeight="1" x14ac:dyDescent="0.35">
      <c r="B4766" s="20" t="s">
        <v>250</v>
      </c>
      <c r="C4766" s="26"/>
      <c r="D4766" s="26"/>
      <c r="E4766" s="26"/>
      <c r="F4766" s="26">
        <f>E4766+'Lookup Tables'!$N$1</f>
        <v>2.0833333333333332E-2</v>
      </c>
      <c r="G4766" s="26">
        <f>F4766+'Lookup Tables'!$N$1</f>
        <v>4.1666666666666664E-2</v>
      </c>
      <c r="H4766" s="26">
        <f>G4766+'Lookup Tables'!$N$1</f>
        <v>6.25E-2</v>
      </c>
      <c r="I4766" s="26">
        <f>H4766+'Lookup Tables'!$N$1</f>
        <v>8.3333333333333329E-2</v>
      </c>
      <c r="J4766" s="26">
        <f>I4766+'Lookup Tables'!$S$1</f>
        <v>9.375E-2</v>
      </c>
      <c r="K4766" s="26">
        <f>J4766+'Lookup Tables'!$S$1</f>
        <v>0.10416666666666667</v>
      </c>
      <c r="L4766" s="26">
        <f>K4766+'Lookup Tables'!$S$1</f>
        <v>0.11458333333333334</v>
      </c>
      <c r="N4766">
        <f>MAX(F4763:M4763)-O4766</f>
        <v>-388</v>
      </c>
      <c r="O4766" t="str">
        <f>RIGHT(E4763,3)</f>
        <v>388</v>
      </c>
    </row>
    <row r="4767" spans="1:16" ht="15.75" customHeight="1" x14ac:dyDescent="0.35">
      <c r="B4767" s="20" t="s">
        <v>251</v>
      </c>
      <c r="C4767" s="27">
        <v>0.2</v>
      </c>
      <c r="D4767" s="27">
        <v>0.5</v>
      </c>
      <c r="E4767" s="25"/>
      <c r="F4767" s="25"/>
      <c r="G4767" s="27"/>
      <c r="H4767" s="25"/>
      <c r="I4767" s="27"/>
      <c r="J4767" s="27"/>
      <c r="K4767" s="27"/>
      <c r="L4767" s="27"/>
      <c r="N4767" t="str">
        <f xml:space="preserve">  N4766 &amp; " degrees this time"</f>
        <v>-388 degrees this time</v>
      </c>
    </row>
    <row r="4768" spans="1:16" ht="15.75" customHeight="1" x14ac:dyDescent="0.35">
      <c r="B4768" s="20" t="s">
        <v>252</v>
      </c>
      <c r="C4768" s="27">
        <v>0.9</v>
      </c>
      <c r="D4768" s="27">
        <v>0.6</v>
      </c>
      <c r="E4768" s="27">
        <v>0.5</v>
      </c>
      <c r="F4768" s="27"/>
      <c r="G4768" s="27"/>
      <c r="H4768" s="25"/>
      <c r="I4768" s="27"/>
      <c r="J4768" s="27"/>
      <c r="K4768" s="27"/>
      <c r="L4768" s="27"/>
    </row>
    <row r="4769" spans="1:16" ht="15.75" customHeight="1" x14ac:dyDescent="0.35">
      <c r="B4769" s="20"/>
      <c r="D4769" s="11"/>
      <c r="E4769" s="11"/>
      <c r="F4769" s="11"/>
      <c r="G4769" s="11"/>
      <c r="H4769" s="13"/>
    </row>
    <row r="4770" spans="1:16" ht="15.75" customHeight="1" x14ac:dyDescent="0.35">
      <c r="G4770" s="1" t="s">
        <v>347</v>
      </c>
      <c r="K4770" s="9"/>
      <c r="L4770" s="9"/>
      <c r="M4770" s="9"/>
    </row>
    <row r="4771" spans="1:16" ht="15.75" customHeight="1" x14ac:dyDescent="0.35">
      <c r="B4771" s="20"/>
      <c r="G4771" s="1"/>
      <c r="H4771" s="1"/>
      <c r="K4771" s="9"/>
      <c r="L4771" s="9"/>
      <c r="M4771" s="9"/>
    </row>
    <row r="4772" spans="1:16" ht="15.75" customHeight="1" x14ac:dyDescent="0.35">
      <c r="B4772" s="20"/>
      <c r="G4772" s="1"/>
      <c r="H4772" s="1"/>
      <c r="K4772" s="9" t="s">
        <v>254</v>
      </c>
      <c r="L4772" s="9"/>
      <c r="M4772" s="9"/>
    </row>
    <row r="4773" spans="1:16" ht="15.75" customHeight="1" x14ac:dyDescent="0.35">
      <c r="B4773" s="9"/>
      <c r="C4773" s="9"/>
      <c r="D4773" s="9"/>
      <c r="E4773" s="9"/>
      <c r="F4773" s="12"/>
      <c r="G4773" s="12"/>
      <c r="H4773" s="12"/>
      <c r="I4773" s="12"/>
      <c r="J4773" s="12"/>
      <c r="K4773" s="12"/>
      <c r="L4773" s="1"/>
    </row>
    <row r="4774" spans="1:16" ht="15.75" customHeight="1" x14ac:dyDescent="0.35">
      <c r="B4774" s="13"/>
      <c r="C4774" s="13"/>
      <c r="D4774" s="13"/>
      <c r="E4774" s="13"/>
      <c r="F4774" s="13"/>
      <c r="H4774" s="16"/>
      <c r="I4774" s="14" t="s">
        <v>255</v>
      </c>
    </row>
    <row r="4775" spans="1:16" x14ac:dyDescent="0.35">
      <c r="B4775" s="13" t="s">
        <v>5</v>
      </c>
      <c r="C4775" s="13" t="s">
        <v>1</v>
      </c>
      <c r="D4775" s="15" t="e">
        <f>VLOOKUP(A4776,Inventory!$A$4:$K$1139,7)</f>
        <v>#N/A</v>
      </c>
      <c r="F4775" s="13" t="s">
        <v>235</v>
      </c>
      <c r="G4775" s="16"/>
      <c r="J4775" s="8"/>
      <c r="K4775" s="17"/>
      <c r="L4775" s="17"/>
      <c r="M4775" s="17"/>
    </row>
    <row r="4776" spans="1:16" x14ac:dyDescent="0.35">
      <c r="A4776">
        <v>0</v>
      </c>
      <c r="B4776" s="5">
        <v>43860</v>
      </c>
      <c r="C4776" s="15" t="s">
        <v>364</v>
      </c>
      <c r="F4776" s="51" t="s">
        <v>346</v>
      </c>
      <c r="G4776" s="2" t="s">
        <v>238</v>
      </c>
      <c r="L4776" s="17"/>
      <c r="M4776" s="17"/>
      <c r="P4776" s="8"/>
    </row>
    <row r="4777" spans="1:16" x14ac:dyDescent="0.35">
      <c r="B4777" s="13"/>
      <c r="C4777" s="13"/>
      <c r="D4777" s="15"/>
      <c r="F4777" s="13"/>
      <c r="G4777" s="16"/>
      <c r="L4777" s="19"/>
      <c r="M4777" s="19"/>
    </row>
    <row r="4778" spans="1:16" x14ac:dyDescent="0.35">
      <c r="B4778" s="20"/>
      <c r="C4778" s="11" t="s">
        <v>240</v>
      </c>
      <c r="D4778" s="11" t="s">
        <v>272</v>
      </c>
      <c r="E4778" s="11" t="s">
        <v>462</v>
      </c>
      <c r="F4778" s="11">
        <v>384</v>
      </c>
      <c r="G4778" s="11">
        <v>393</v>
      </c>
      <c r="H4778" s="11">
        <v>401</v>
      </c>
      <c r="I4778" s="11">
        <v>409</v>
      </c>
      <c r="J4778" s="11">
        <v>411</v>
      </c>
      <c r="K4778" s="11"/>
      <c r="L4778" s="11"/>
    </row>
    <row r="4779" spans="1:16" ht="15.75" customHeight="1" x14ac:dyDescent="0.35">
      <c r="B4779" s="20" t="s">
        <v>242</v>
      </c>
      <c r="C4779" s="30"/>
      <c r="D4779" s="30"/>
      <c r="E4779" s="23" t="s">
        <v>244</v>
      </c>
      <c r="F4779" s="23" t="s">
        <v>245</v>
      </c>
      <c r="G4779" s="23" t="s">
        <v>246</v>
      </c>
      <c r="H4779" s="23" t="s">
        <v>247</v>
      </c>
      <c r="I4779" s="23" t="s">
        <v>259</v>
      </c>
      <c r="J4779" s="23" t="s">
        <v>260</v>
      </c>
      <c r="O4779" s="4"/>
    </row>
    <row r="4780" spans="1:16" ht="1" customHeight="1" x14ac:dyDescent="0.35">
      <c r="B4780" s="24" t="s">
        <v>249</v>
      </c>
      <c r="C4780" s="25"/>
      <c r="D4780" s="25"/>
      <c r="E4780" s="25"/>
      <c r="F4780" s="25"/>
      <c r="G4780" s="25"/>
      <c r="H4780" s="25"/>
      <c r="I4780" s="25"/>
      <c r="O4780" t="e">
        <f>(O4778-3*O4777)/O4779</f>
        <v>#DIV/0!</v>
      </c>
    </row>
    <row r="4781" spans="1:16" ht="15.75" customHeight="1" x14ac:dyDescent="0.35">
      <c r="B4781" s="20" t="s">
        <v>250</v>
      </c>
      <c r="C4781" s="26">
        <v>0.23958333333333334</v>
      </c>
      <c r="D4781" s="26">
        <v>0.33680555555555558</v>
      </c>
      <c r="E4781" s="26">
        <v>0.44097222222222227</v>
      </c>
      <c r="F4781" s="26">
        <f>E4781+'Lookup Tables'!$N$1</f>
        <v>0.46180555555555558</v>
      </c>
      <c r="G4781" s="26">
        <f>F4781+'Lookup Tables'!$N$1</f>
        <v>0.4826388888888889</v>
      </c>
      <c r="H4781" s="26">
        <f>G4781+'Lookup Tables'!$N$1</f>
        <v>0.50347222222222221</v>
      </c>
      <c r="I4781" s="26">
        <f>H4781+'Lookup Tables'!$N$1</f>
        <v>0.52430555555555558</v>
      </c>
      <c r="J4781" s="26">
        <f>I4781+'Lookup Tables'!$M$1</f>
        <v>0.53472222222222221</v>
      </c>
      <c r="N4781">
        <f>MAX(F4778:M4778)-O4781</f>
        <v>34</v>
      </c>
      <c r="O4781" t="str">
        <f>RIGHT(E4778,3)</f>
        <v>377</v>
      </c>
    </row>
    <row r="4782" spans="1:16" ht="15.75" customHeight="1" x14ac:dyDescent="0.35">
      <c r="B4782" s="20" t="s">
        <v>251</v>
      </c>
      <c r="C4782" s="27">
        <v>0.2</v>
      </c>
      <c r="D4782" s="27">
        <v>0.5</v>
      </c>
      <c r="E4782" s="27"/>
      <c r="F4782" s="27"/>
      <c r="G4782" s="27" t="s">
        <v>274</v>
      </c>
      <c r="H4782" s="27"/>
      <c r="I4782" s="27"/>
      <c r="J4782" s="27"/>
      <c r="N4782" t="str">
        <f xml:space="preserve">  N4781 &amp; " degrees this time"</f>
        <v>34 degrees this time</v>
      </c>
    </row>
    <row r="4783" spans="1:16" ht="15.75" customHeight="1" x14ac:dyDescent="0.35">
      <c r="B4783" s="20" t="s">
        <v>252</v>
      </c>
      <c r="C4783" s="27">
        <v>0.9</v>
      </c>
      <c r="D4783" s="27">
        <v>0.8</v>
      </c>
      <c r="E4783" s="27">
        <v>0.7</v>
      </c>
      <c r="F4783" s="27">
        <v>0.4</v>
      </c>
      <c r="G4783" s="27" t="s">
        <v>274</v>
      </c>
      <c r="H4783" s="27"/>
      <c r="I4783" s="27"/>
      <c r="J4783" s="27" t="s">
        <v>275</v>
      </c>
    </row>
    <row r="4784" spans="1:16" ht="15.75" customHeight="1" x14ac:dyDescent="0.35">
      <c r="B4784" s="20"/>
      <c r="D4784" s="11"/>
      <c r="E4784" s="11"/>
      <c r="F4784" s="11"/>
      <c r="G4784" s="13"/>
      <c r="H4784" s="13"/>
      <c r="I4784" s="13"/>
      <c r="J4784" s="37"/>
      <c r="L4784" s="35"/>
    </row>
    <row r="4785" spans="1:16" ht="15.75" customHeight="1" x14ac:dyDescent="0.35">
      <c r="G4785" s="1" t="s">
        <v>366</v>
      </c>
      <c r="H4785" s="1"/>
      <c r="K4785" s="9" t="s">
        <v>367</v>
      </c>
      <c r="L4785" s="9"/>
      <c r="M4785" s="9"/>
    </row>
    <row r="4786" spans="1:16" ht="15.75" customHeight="1" x14ac:dyDescent="0.35">
      <c r="B4786" s="20"/>
      <c r="G4786" s="1"/>
      <c r="H4786" s="1"/>
      <c r="K4786" s="32" t="s">
        <v>368</v>
      </c>
      <c r="L4786" s="9"/>
      <c r="M4786" s="9"/>
    </row>
    <row r="4787" spans="1:16" ht="15.75" customHeight="1" x14ac:dyDescent="0.35">
      <c r="B4787" s="20"/>
      <c r="G4787" s="1"/>
      <c r="H4787" s="1"/>
      <c r="K4787" s="9" t="s">
        <v>254</v>
      </c>
      <c r="L4787" s="9"/>
      <c r="M4787" s="9"/>
    </row>
    <row r="4788" spans="1:16" ht="15.75" customHeight="1" x14ac:dyDescent="0.35">
      <c r="B4788" s="9"/>
      <c r="C4788" s="9"/>
      <c r="D4788" s="9"/>
      <c r="E4788" s="9"/>
      <c r="F4788" s="12"/>
      <c r="G4788" s="12"/>
      <c r="H4788" s="12"/>
      <c r="I4788" s="12"/>
      <c r="J4788" s="12"/>
      <c r="K4788" s="12"/>
      <c r="L4788" s="1"/>
    </row>
    <row r="4789" spans="1:16" ht="15.75" customHeight="1" x14ac:dyDescent="0.35">
      <c r="B4789" s="13"/>
      <c r="C4789" s="13"/>
      <c r="D4789" s="13"/>
      <c r="E4789" s="13"/>
      <c r="F4789" s="33" t="s">
        <v>473</v>
      </c>
      <c r="G4789" s="13"/>
      <c r="H4789" s="13"/>
      <c r="I4789" s="13"/>
    </row>
    <row r="4790" spans="1:16" x14ac:dyDescent="0.35">
      <c r="B4790" s="13" t="s">
        <v>5</v>
      </c>
      <c r="C4790" s="13" t="s">
        <v>1</v>
      </c>
      <c r="D4790" s="15" t="str">
        <f>VLOOKUP(A4791,Inventory!$A$4:$K$1139,7)</f>
        <v>Coffee Bean corral</v>
      </c>
      <c r="F4790" s="13" t="s">
        <v>235</v>
      </c>
      <c r="G4790" s="16"/>
      <c r="L4790" s="17"/>
      <c r="M4790" s="17"/>
    </row>
    <row r="4791" spans="1:16" x14ac:dyDescent="0.35">
      <c r="A4791">
        <v>152</v>
      </c>
      <c r="B4791" s="5">
        <v>43847</v>
      </c>
      <c r="C4791" s="15" t="str">
        <f>VLOOKUP(A4791,Inventory!$A$4:$K$1139,2)</f>
        <v>Nicaragua Organic Jinotega Finca La Isabelia 2018</v>
      </c>
      <c r="E4791" s="11"/>
      <c r="F4791" s="34" t="s">
        <v>279</v>
      </c>
      <c r="G4791" s="2" t="s">
        <v>286</v>
      </c>
      <c r="L4791" s="17"/>
      <c r="M4791" s="17"/>
      <c r="P4791" s="8"/>
    </row>
    <row r="4792" spans="1:16" x14ac:dyDescent="0.35">
      <c r="D4792" s="11"/>
      <c r="E4792" s="11"/>
      <c r="G4792" s="16"/>
      <c r="L4792" s="19"/>
      <c r="M4792" s="19"/>
    </row>
    <row r="4793" spans="1:16" x14ac:dyDescent="0.35">
      <c r="B4793" s="20"/>
      <c r="C4793" s="11" t="s">
        <v>240</v>
      </c>
      <c r="D4793" s="11" t="s">
        <v>395</v>
      </c>
      <c r="E4793" s="11" t="s">
        <v>430</v>
      </c>
      <c r="F4793" s="11">
        <v>375</v>
      </c>
      <c r="G4793" s="11">
        <v>381</v>
      </c>
      <c r="H4793" s="11">
        <v>387</v>
      </c>
      <c r="I4793" s="11">
        <v>392</v>
      </c>
      <c r="J4793" s="11"/>
      <c r="K4793" s="28"/>
      <c r="L4793" s="28"/>
    </row>
    <row r="4794" spans="1:16" ht="15.75" customHeight="1" x14ac:dyDescent="0.35">
      <c r="B4794" s="20" t="s">
        <v>242</v>
      </c>
      <c r="C4794" s="21"/>
      <c r="D4794" s="22" t="s">
        <v>442</v>
      </c>
      <c r="E4794" s="23" t="s">
        <v>244</v>
      </c>
      <c r="F4794" s="23" t="s">
        <v>245</v>
      </c>
      <c r="G4794" s="23" t="s">
        <v>246</v>
      </c>
      <c r="H4794" s="23" t="s">
        <v>247</v>
      </c>
      <c r="I4794" s="23" t="s">
        <v>248</v>
      </c>
      <c r="J4794" s="23" t="s">
        <v>259</v>
      </c>
      <c r="O4794" s="4"/>
    </row>
    <row r="4795" spans="1:16" ht="1" customHeight="1" x14ac:dyDescent="0.35">
      <c r="B4795" s="24" t="s">
        <v>249</v>
      </c>
      <c r="C4795" s="25"/>
      <c r="D4795" s="25"/>
      <c r="E4795" s="25"/>
      <c r="F4795" s="25"/>
      <c r="G4795" s="25"/>
      <c r="H4795" s="25"/>
      <c r="I4795" s="25"/>
      <c r="J4795" s="25"/>
      <c r="O4795" t="e">
        <f>(O4793-3*O4792)/O4794</f>
        <v>#DIV/0!</v>
      </c>
    </row>
    <row r="4796" spans="1:16" ht="15.75" customHeight="1" x14ac:dyDescent="0.35">
      <c r="B4796" s="20" t="s">
        <v>250</v>
      </c>
      <c r="C4796" s="26">
        <v>0.23263888888888887</v>
      </c>
      <c r="D4796" s="26">
        <v>0.30208333333333331</v>
      </c>
      <c r="E4796" s="26">
        <v>0.40625</v>
      </c>
      <c r="F4796" s="26">
        <f>E4796+'Lookup Tables'!$N$1</f>
        <v>0.42708333333333331</v>
      </c>
      <c r="G4796" s="26">
        <f>F4796+'Lookup Tables'!$N$1</f>
        <v>0.44791666666666663</v>
      </c>
      <c r="H4796" s="26">
        <f>G4796+'Lookup Tables'!$S$1</f>
        <v>0.45833333333333331</v>
      </c>
      <c r="I4796" s="26">
        <f>H4796+'Lookup Tables'!$S$1</f>
        <v>0.46875</v>
      </c>
      <c r="J4796" s="26">
        <f>I4796+'Lookup Tables'!$N$1</f>
        <v>0.48958333333333331</v>
      </c>
      <c r="K4796" s="11"/>
      <c r="N4796">
        <f>MAX(F4793:M4793)-O4796</f>
        <v>24</v>
      </c>
      <c r="O4796" t="str">
        <f>RIGHT(E4793,3)</f>
        <v>368</v>
      </c>
    </row>
    <row r="4797" spans="1:16" ht="15.75" customHeight="1" x14ac:dyDescent="0.35">
      <c r="B4797" s="20" t="s">
        <v>251</v>
      </c>
      <c r="C4797" s="27">
        <v>0.2</v>
      </c>
      <c r="D4797" s="27">
        <v>0.5</v>
      </c>
      <c r="E4797" s="27"/>
      <c r="F4797" s="27"/>
      <c r="G4797" s="27" t="s">
        <v>274</v>
      </c>
      <c r="H4797" s="27"/>
      <c r="I4797" s="25"/>
      <c r="J4797" s="27"/>
      <c r="N4797" t="str">
        <f xml:space="preserve">  N4796 &amp; " degrees this time"</f>
        <v>24 degrees this time</v>
      </c>
    </row>
    <row r="4798" spans="1:16" ht="15.75" customHeight="1" x14ac:dyDescent="0.35">
      <c r="B4798" s="20" t="s">
        <v>252</v>
      </c>
      <c r="C4798" s="27">
        <v>0.9</v>
      </c>
      <c r="D4798" s="27">
        <v>0.7</v>
      </c>
      <c r="E4798" s="27"/>
      <c r="F4798" s="27"/>
      <c r="G4798" s="27"/>
      <c r="H4798" s="27"/>
      <c r="I4798" s="27"/>
      <c r="J4798" s="27" t="s">
        <v>275</v>
      </c>
    </row>
    <row r="4799" spans="1:16" ht="15.75" customHeight="1" x14ac:dyDescent="0.35">
      <c r="B4799" s="20"/>
      <c r="D4799" s="11"/>
      <c r="E4799" s="11"/>
      <c r="F4799" s="11"/>
      <c r="G4799" s="1"/>
      <c r="H4799" s="55"/>
    </row>
    <row r="4800" spans="1:16" ht="15.75" customHeight="1" x14ac:dyDescent="0.35">
      <c r="B4800" s="20"/>
      <c r="G4800" s="1" t="s">
        <v>470</v>
      </c>
      <c r="K4800" s="9" t="s">
        <v>523</v>
      </c>
      <c r="L4800" s="9"/>
      <c r="M4800" s="9"/>
    </row>
    <row r="4801" spans="1:16" ht="15.75" customHeight="1" x14ac:dyDescent="0.35">
      <c r="B4801" s="30"/>
      <c r="G4801" s="1"/>
      <c r="H4801" s="1"/>
      <c r="K4801" s="32" t="s">
        <v>535</v>
      </c>
      <c r="L4801" s="9"/>
      <c r="M4801" s="9"/>
    </row>
    <row r="4802" spans="1:16" ht="15.75" customHeight="1" x14ac:dyDescent="0.35">
      <c r="B4802" s="30"/>
      <c r="G4802" s="1"/>
      <c r="H4802" s="1"/>
      <c r="K4802" s="9"/>
      <c r="L4802" s="9"/>
      <c r="M4802" s="9"/>
    </row>
    <row r="4803" spans="1:16" ht="15.75" customHeight="1" x14ac:dyDescent="0.35">
      <c r="B4803" s="9"/>
      <c r="C4803" s="9"/>
      <c r="D4803" s="9"/>
      <c r="E4803" s="9"/>
      <c r="F4803" s="12"/>
      <c r="G4803" s="12"/>
      <c r="H4803" s="12"/>
      <c r="I4803" s="12"/>
      <c r="J4803" s="12"/>
      <c r="K4803" s="12"/>
      <c r="L4803" s="1"/>
    </row>
    <row r="4804" spans="1:16" ht="15.75" customHeight="1" x14ac:dyDescent="0.35">
      <c r="B4804" s="13"/>
      <c r="C4804" s="13"/>
      <c r="D4804" s="15"/>
      <c r="F4804" s="33" t="s">
        <v>473</v>
      </c>
      <c r="G4804" s="16"/>
      <c r="I4804" s="14"/>
    </row>
    <row r="4805" spans="1:16" x14ac:dyDescent="0.35">
      <c r="B4805" s="13" t="s">
        <v>5</v>
      </c>
      <c r="C4805" s="13" t="s">
        <v>1</v>
      </c>
      <c r="D4805" s="15" t="str">
        <f>VLOOKUP(A4806,Inventory!$A$4:$K$1139,7)</f>
        <v>Coffee Bean corral</v>
      </c>
      <c r="F4805" s="13" t="s">
        <v>235</v>
      </c>
      <c r="G4805" s="16"/>
      <c r="L4805" s="17"/>
      <c r="M4805" s="17"/>
    </row>
    <row r="4806" spans="1:16" x14ac:dyDescent="0.35">
      <c r="A4806">
        <v>151</v>
      </c>
      <c r="B4806" s="5">
        <v>43847</v>
      </c>
      <c r="C4806" s="15" t="str">
        <f>VLOOKUP(A4806,Inventory!$A$4:$K$1139,2)</f>
        <v>Yemen Mocca Ismaili Natural 2018</v>
      </c>
      <c r="F4806" s="34" t="s">
        <v>279</v>
      </c>
      <c r="G4806" s="2" t="s">
        <v>286</v>
      </c>
      <c r="L4806" s="17"/>
      <c r="M4806" s="17"/>
      <c r="P4806" s="8"/>
    </row>
    <row r="4807" spans="1:16" x14ac:dyDescent="0.35">
      <c r="B4807" t="s">
        <v>16</v>
      </c>
      <c r="G4807" s="16"/>
      <c r="L4807" s="19"/>
      <c r="M4807" s="19"/>
    </row>
    <row r="4808" spans="1:16" x14ac:dyDescent="0.35">
      <c r="B4808" s="20"/>
      <c r="C4808" s="11" t="s">
        <v>240</v>
      </c>
      <c r="D4808" s="11" t="s">
        <v>272</v>
      </c>
      <c r="E4808" s="11" t="s">
        <v>505</v>
      </c>
      <c r="F4808" s="11">
        <v>385</v>
      </c>
      <c r="G4808" s="11">
        <v>395</v>
      </c>
      <c r="H4808" s="11">
        <v>400</v>
      </c>
      <c r="I4808" s="11"/>
      <c r="J4808" s="11"/>
      <c r="K4808" s="11"/>
      <c r="L4808" s="28"/>
    </row>
    <row r="4809" spans="1:16" ht="15.75" customHeight="1" x14ac:dyDescent="0.35">
      <c r="B4809" s="20" t="s">
        <v>242</v>
      </c>
      <c r="C4809" s="21"/>
      <c r="D4809" s="22" t="s">
        <v>294</v>
      </c>
      <c r="E4809" s="23" t="s">
        <v>244</v>
      </c>
      <c r="F4809" s="23" t="s">
        <v>245</v>
      </c>
      <c r="G4809" s="23" t="s">
        <v>246</v>
      </c>
      <c r="H4809" s="23" t="s">
        <v>273</v>
      </c>
      <c r="I4809" s="23" t="s">
        <v>247</v>
      </c>
      <c r="O4809" s="4"/>
    </row>
    <row r="4810" spans="1:16" ht="1" customHeight="1" x14ac:dyDescent="0.35">
      <c r="B4810" s="24" t="s">
        <v>249</v>
      </c>
      <c r="C4810" s="25">
        <v>320</v>
      </c>
      <c r="D4810" s="25">
        <v>350</v>
      </c>
      <c r="E4810" s="25"/>
      <c r="F4810" s="25"/>
      <c r="G4810" s="25"/>
      <c r="H4810" s="23" t="s">
        <v>247</v>
      </c>
      <c r="I4810" s="25"/>
      <c r="O4810" t="e">
        <f>(O4808-3*O4807)/O4809</f>
        <v>#DIV/0!</v>
      </c>
    </row>
    <row r="4811" spans="1:16" ht="15.75" customHeight="1" x14ac:dyDescent="0.35">
      <c r="B4811" s="20" t="s">
        <v>250</v>
      </c>
      <c r="C4811" s="26">
        <v>0.22916666666666666</v>
      </c>
      <c r="D4811" s="26">
        <v>0.31944444444444448</v>
      </c>
      <c r="E4811" s="26">
        <v>0.41319444444444442</v>
      </c>
      <c r="F4811" s="26">
        <f>E4811+'Lookup Tables'!$N$1</f>
        <v>0.43402777777777773</v>
      </c>
      <c r="G4811" s="26">
        <f>F4811+'Lookup Tables'!$N$1</f>
        <v>0.45486111111111105</v>
      </c>
      <c r="H4811" s="26">
        <f>G4811+'Lookup Tables'!$S$1</f>
        <v>0.46527777777777773</v>
      </c>
      <c r="I4811" s="26">
        <f>H4811+'Lookup Tables'!$S$1</f>
        <v>0.47569444444444442</v>
      </c>
      <c r="J4811" s="11"/>
      <c r="K4811" s="11"/>
      <c r="N4811">
        <f>MAX(F4808:M4808)-O4811</f>
        <v>22</v>
      </c>
      <c r="O4811" t="str">
        <f>RIGHT(E4808,3)</f>
        <v>378</v>
      </c>
    </row>
    <row r="4812" spans="1:16" ht="15.75" customHeight="1" x14ac:dyDescent="0.35">
      <c r="B4812" s="20" t="s">
        <v>251</v>
      </c>
      <c r="C4812" s="27">
        <v>0.2</v>
      </c>
      <c r="D4812" s="27">
        <v>0.5</v>
      </c>
      <c r="E4812" s="27"/>
      <c r="F4812" s="27"/>
      <c r="G4812" s="27">
        <v>0.25</v>
      </c>
      <c r="H4812" s="27"/>
      <c r="I4812" s="27"/>
      <c r="N4812" t="str">
        <f xml:space="preserve">  N4811 &amp; " degrees this time"</f>
        <v>22 degrees this time</v>
      </c>
    </row>
    <row r="4813" spans="1:16" ht="15.75" customHeight="1" x14ac:dyDescent="0.35">
      <c r="B4813" s="20" t="s">
        <v>252</v>
      </c>
      <c r="C4813" s="27">
        <v>0.9</v>
      </c>
      <c r="D4813" s="27">
        <v>0.7</v>
      </c>
      <c r="E4813" s="27">
        <v>0.6</v>
      </c>
      <c r="F4813" s="27"/>
      <c r="G4813" s="27"/>
      <c r="H4813" s="27"/>
      <c r="I4813" s="27" t="s">
        <v>275</v>
      </c>
    </row>
    <row r="4814" spans="1:16" ht="15.75" customHeight="1" x14ac:dyDescent="0.35">
      <c r="B4814" s="20"/>
      <c r="D4814" s="11"/>
      <c r="E4814" s="40"/>
      <c r="F4814" s="11"/>
      <c r="G4814" s="11"/>
      <c r="K4814" s="9" t="s">
        <v>562</v>
      </c>
      <c r="L4814" s="9"/>
      <c r="M4814" s="9"/>
    </row>
    <row r="4815" spans="1:16" ht="15.75" customHeight="1" x14ac:dyDescent="0.35">
      <c r="B4815" s="38"/>
      <c r="D4815" s="15"/>
      <c r="F4815" s="13"/>
      <c r="G4815" s="1" t="s">
        <v>296</v>
      </c>
      <c r="K4815" s="32" t="s">
        <v>563</v>
      </c>
      <c r="L4815" s="9"/>
      <c r="M4815" s="9"/>
    </row>
    <row r="4816" spans="1:16" ht="15.75" customHeight="1" x14ac:dyDescent="0.35">
      <c r="B4816" s="20"/>
      <c r="G4816" s="1"/>
      <c r="H4816" s="1"/>
      <c r="K4816" s="9"/>
      <c r="L4816" s="9"/>
      <c r="M4816" s="9"/>
    </row>
    <row r="4817" spans="1:16" ht="15.75" customHeight="1" x14ac:dyDescent="0.35">
      <c r="B4817" s="20"/>
      <c r="G4817" s="1"/>
      <c r="H4817" s="1"/>
      <c r="K4817" s="9" t="s">
        <v>297</v>
      </c>
      <c r="L4817" s="9"/>
      <c r="M4817" s="9"/>
    </row>
    <row r="4818" spans="1:16" ht="15.75" customHeight="1" x14ac:dyDescent="0.35">
      <c r="B4818" s="9"/>
      <c r="C4818" s="9"/>
      <c r="D4818" s="9"/>
      <c r="E4818" s="9"/>
      <c r="F4818" s="12"/>
      <c r="G4818" s="12"/>
      <c r="H4818" s="12"/>
      <c r="I4818" s="12"/>
      <c r="J4818" s="12"/>
      <c r="K4818" s="12"/>
      <c r="L4818" s="1"/>
    </row>
    <row r="4819" spans="1:16" ht="15.75" customHeight="1" x14ac:dyDescent="0.35">
      <c r="B4819" s="13"/>
      <c r="C4819" s="13"/>
      <c r="D4819" s="13"/>
      <c r="E4819" s="13"/>
      <c r="F4819" s="13"/>
      <c r="G4819" s="13"/>
      <c r="H4819" s="14" t="s">
        <v>255</v>
      </c>
      <c r="I4819" s="13"/>
    </row>
    <row r="4820" spans="1:16" x14ac:dyDescent="0.35">
      <c r="B4820" s="13" t="s">
        <v>5</v>
      </c>
      <c r="C4820" s="13" t="s">
        <v>1</v>
      </c>
      <c r="D4820" s="15" t="str">
        <f>VLOOKUP(A4821,Inventory!$A$4:$K$1139,7)</f>
        <v xml:space="preserve">Klatch                             </v>
      </c>
      <c r="F4820" s="13" t="s">
        <v>235</v>
      </c>
      <c r="G4820" s="16"/>
      <c r="L4820" s="17"/>
      <c r="M4820" s="17"/>
    </row>
    <row r="4821" spans="1:16" x14ac:dyDescent="0.35">
      <c r="A4821">
        <v>154</v>
      </c>
      <c r="B4821" s="5">
        <v>43847</v>
      </c>
      <c r="C4821" s="15" t="str">
        <f>VLOOKUP(A4821,Inventory!$A$4:$K$1139,2)</f>
        <v>Panama Elida Natural 2019</v>
      </c>
      <c r="F4821" s="31" t="s">
        <v>291</v>
      </c>
      <c r="G4821" s="2" t="s">
        <v>270</v>
      </c>
      <c r="L4821" s="17"/>
      <c r="M4821" s="17"/>
      <c r="P4821" s="8"/>
    </row>
    <row r="4822" spans="1:16" x14ac:dyDescent="0.35">
      <c r="F4822" s="13"/>
      <c r="G4822" s="16"/>
      <c r="L4822" s="19"/>
      <c r="M4822" s="19"/>
    </row>
    <row r="4823" spans="1:16" x14ac:dyDescent="0.35">
      <c r="B4823" s="20"/>
      <c r="C4823" s="11" t="s">
        <v>240</v>
      </c>
      <c r="D4823" s="11" t="s">
        <v>272</v>
      </c>
      <c r="E4823" s="11" t="s">
        <v>319</v>
      </c>
      <c r="F4823" s="11">
        <v>379</v>
      </c>
      <c r="G4823" s="11">
        <v>384</v>
      </c>
      <c r="H4823" s="11">
        <v>388</v>
      </c>
      <c r="I4823" s="11">
        <v>390</v>
      </c>
      <c r="J4823" s="11" t="s">
        <v>313</v>
      </c>
      <c r="K4823" s="11"/>
      <c r="L4823" s="28"/>
    </row>
    <row r="4824" spans="1:16" ht="15.75" customHeight="1" x14ac:dyDescent="0.35">
      <c r="B4824" s="20" t="s">
        <v>242</v>
      </c>
      <c r="C4824" s="30"/>
      <c r="D4824" s="30"/>
      <c r="E4824" s="23" t="s">
        <v>244</v>
      </c>
      <c r="F4824" s="23" t="s">
        <v>245</v>
      </c>
      <c r="G4824" s="23" t="s">
        <v>246</v>
      </c>
      <c r="H4824" s="23" t="s">
        <v>273</v>
      </c>
      <c r="I4824" s="23" t="s">
        <v>247</v>
      </c>
      <c r="O4824" s="4"/>
    </row>
    <row r="4825" spans="1:16" ht="1" customHeight="1" x14ac:dyDescent="0.35">
      <c r="B4825" s="24" t="s">
        <v>249</v>
      </c>
      <c r="C4825" s="25"/>
      <c r="D4825" s="25"/>
      <c r="E4825" s="25"/>
      <c r="F4825" s="25"/>
      <c r="G4825" s="25"/>
      <c r="H4825" s="25"/>
      <c r="O4825" t="e">
        <f>(O4823-3*O4822)/O4824</f>
        <v>#DIV/0!</v>
      </c>
    </row>
    <row r="4826" spans="1:16" ht="15.75" customHeight="1" x14ac:dyDescent="0.35">
      <c r="B4826" s="20" t="s">
        <v>250</v>
      </c>
      <c r="C4826" s="26">
        <v>0.19444444444444445</v>
      </c>
      <c r="D4826" s="26">
        <v>0.28472222222222221</v>
      </c>
      <c r="E4826" s="26">
        <v>0.375</v>
      </c>
      <c r="F4826" s="26">
        <f>E4826+'Lookup Tables'!$N$1</f>
        <v>0.39583333333333331</v>
      </c>
      <c r="G4826" s="26">
        <f>F4826+'Lookup Tables'!$N$1</f>
        <v>0.41666666666666663</v>
      </c>
      <c r="H4826" s="26">
        <f>G4826+'Lookup Tables'!$S$1</f>
        <v>0.42708333333333331</v>
      </c>
      <c r="I4826" s="26">
        <f>H4826+'Lookup Tables'!$S$1</f>
        <v>0.4375</v>
      </c>
      <c r="N4826">
        <f>MAX(F4823:M4823)-O4826</f>
        <v>17</v>
      </c>
      <c r="O4826" t="str">
        <f>RIGHT(E4823,3)</f>
        <v>373</v>
      </c>
    </row>
    <row r="4827" spans="1:16" ht="15.75" customHeight="1" x14ac:dyDescent="0.35">
      <c r="B4827" s="20" t="s">
        <v>251</v>
      </c>
      <c r="C4827" s="27">
        <v>0.2</v>
      </c>
      <c r="D4827" s="27">
        <v>0.5</v>
      </c>
      <c r="E4827" s="27">
        <v>0.5</v>
      </c>
      <c r="F4827" s="27" t="s">
        <v>274</v>
      </c>
      <c r="G4827" s="27"/>
      <c r="H4827" s="25"/>
      <c r="I4827" s="25"/>
      <c r="N4827" t="str">
        <f xml:space="preserve">  N4826 &amp; " degrees this time"</f>
        <v>17 degrees this time</v>
      </c>
    </row>
    <row r="4828" spans="1:16" ht="15.75" customHeight="1" x14ac:dyDescent="0.35">
      <c r="B4828" s="20" t="s">
        <v>252</v>
      </c>
      <c r="C4828" s="27">
        <v>0.9</v>
      </c>
      <c r="D4828" s="27">
        <v>0.7</v>
      </c>
      <c r="E4828" s="27">
        <v>0.6</v>
      </c>
      <c r="F4828" s="27" t="s">
        <v>274</v>
      </c>
      <c r="G4828" s="27"/>
      <c r="H4828" s="27" t="s">
        <v>275</v>
      </c>
      <c r="I4828" s="27" t="s">
        <v>275</v>
      </c>
    </row>
    <row r="4829" spans="1:16" ht="15.75" customHeight="1" x14ac:dyDescent="0.35">
      <c r="B4829" s="20"/>
      <c r="D4829" s="11"/>
      <c r="E4829" s="11"/>
      <c r="F4829" s="11"/>
    </row>
    <row r="4830" spans="1:16" ht="15.75" customHeight="1" x14ac:dyDescent="0.35">
      <c r="B4830" s="20"/>
      <c r="C4830" s="30"/>
      <c r="D4830" s="11"/>
      <c r="E4830" s="11"/>
      <c r="F4830" s="11"/>
      <c r="G4830" s="1" t="s">
        <v>276</v>
      </c>
      <c r="K4830" s="9"/>
      <c r="L4830" s="9"/>
      <c r="M4830" s="9"/>
    </row>
    <row r="4831" spans="1:16" ht="15.75" customHeight="1" x14ac:dyDescent="0.35">
      <c r="B4831" s="20"/>
      <c r="G4831" s="1"/>
      <c r="H4831" s="1"/>
      <c r="K4831" s="9"/>
      <c r="L4831" s="9"/>
      <c r="M4831" s="9"/>
    </row>
    <row r="4832" spans="1:16" ht="15.75" customHeight="1" x14ac:dyDescent="0.35">
      <c r="B4832" s="20"/>
      <c r="G4832" s="1"/>
      <c r="H4832" s="1"/>
      <c r="K4832" s="32" t="s">
        <v>536</v>
      </c>
      <c r="L4832" s="9"/>
      <c r="M4832" s="9"/>
    </row>
    <row r="4833" spans="1:16" ht="15.75" customHeight="1" x14ac:dyDescent="0.35">
      <c r="B4833" s="9"/>
      <c r="C4833" s="9"/>
      <c r="D4833" s="9"/>
      <c r="E4833" s="9"/>
      <c r="F4833" s="12"/>
      <c r="G4833" s="12"/>
      <c r="H4833" s="12"/>
      <c r="I4833" s="12"/>
      <c r="J4833" s="12"/>
      <c r="K4833" s="12"/>
      <c r="L4833" s="1"/>
    </row>
    <row r="4834" spans="1:16" ht="15.75" customHeight="1" x14ac:dyDescent="0.35">
      <c r="B4834" s="13"/>
      <c r="C4834" s="13"/>
      <c r="D4834" s="15"/>
      <c r="F4834" s="33" t="s">
        <v>473</v>
      </c>
      <c r="G4834" s="16"/>
      <c r="H4834" s="14" t="s">
        <v>255</v>
      </c>
      <c r="I4834" s="14"/>
    </row>
    <row r="4835" spans="1:16" x14ac:dyDescent="0.35">
      <c r="B4835" s="13" t="s">
        <v>5</v>
      </c>
      <c r="C4835" s="13" t="s">
        <v>1</v>
      </c>
      <c r="D4835" s="15" t="str">
        <f>VLOOKUP(A4836,Inventory!$A$4:$K$1139,7)</f>
        <v xml:space="preserve">Sweet Marias                       </v>
      </c>
      <c r="F4835" s="13" t="s">
        <v>235</v>
      </c>
      <c r="G4835" s="16"/>
      <c r="L4835" s="17"/>
      <c r="M4835" s="17"/>
    </row>
    <row r="4836" spans="1:16" x14ac:dyDescent="0.35">
      <c r="A4836">
        <v>153</v>
      </c>
      <c r="B4836" s="5">
        <v>43847</v>
      </c>
      <c r="C4836" s="15" t="str">
        <f>VLOOKUP(A4836,Inventory!$A$4:$K$1139,2)</f>
        <v>Yemen Mokha Matari 2019</v>
      </c>
      <c r="F4836" s="31" t="s">
        <v>291</v>
      </c>
      <c r="G4836" s="2" t="s">
        <v>286</v>
      </c>
      <c r="L4836" s="17"/>
      <c r="M4836" s="17"/>
      <c r="P4836" s="8"/>
    </row>
    <row r="4837" spans="1:16" x14ac:dyDescent="0.35">
      <c r="B4837" t="s">
        <v>16</v>
      </c>
      <c r="G4837" s="16"/>
      <c r="L4837" s="19"/>
      <c r="M4837" s="19"/>
    </row>
    <row r="4838" spans="1:16" x14ac:dyDescent="0.35">
      <c r="B4838" s="20"/>
      <c r="C4838" s="11" t="s">
        <v>240</v>
      </c>
      <c r="D4838" s="11" t="s">
        <v>272</v>
      </c>
      <c r="E4838" s="11" t="s">
        <v>505</v>
      </c>
      <c r="F4838" s="11">
        <v>386</v>
      </c>
      <c r="G4838" s="11">
        <v>393</v>
      </c>
      <c r="H4838" s="11">
        <v>398</v>
      </c>
      <c r="I4838" s="11">
        <v>400</v>
      </c>
      <c r="J4838" s="11" t="s">
        <v>335</v>
      </c>
      <c r="K4838" s="11"/>
      <c r="L4838" s="28"/>
    </row>
    <row r="4839" spans="1:16" ht="15.75" customHeight="1" x14ac:dyDescent="0.35">
      <c r="B4839" s="20" t="s">
        <v>242</v>
      </c>
      <c r="C4839" s="21"/>
      <c r="D4839" s="22" t="s">
        <v>294</v>
      </c>
      <c r="E4839" s="23" t="s">
        <v>244</v>
      </c>
      <c r="F4839" s="23" t="s">
        <v>245</v>
      </c>
      <c r="G4839" s="23" t="s">
        <v>246</v>
      </c>
      <c r="H4839" s="23" t="s">
        <v>273</v>
      </c>
      <c r="I4839" s="23" t="s">
        <v>247</v>
      </c>
      <c r="O4839" s="4"/>
    </row>
    <row r="4840" spans="1:16" ht="1" customHeight="1" x14ac:dyDescent="0.35">
      <c r="B4840" s="24" t="s">
        <v>249</v>
      </c>
      <c r="C4840" s="25">
        <v>320</v>
      </c>
      <c r="D4840" s="25">
        <v>350</v>
      </c>
      <c r="E4840" s="25"/>
      <c r="F4840" s="25"/>
      <c r="G4840" s="25"/>
      <c r="H4840" s="23" t="s">
        <v>247</v>
      </c>
      <c r="I4840" s="25"/>
      <c r="O4840" t="e">
        <f>(O4838-3*O4837)/O4839</f>
        <v>#DIV/0!</v>
      </c>
    </row>
    <row r="4841" spans="1:16" ht="15.75" customHeight="1" x14ac:dyDescent="0.35">
      <c r="B4841" s="20" t="s">
        <v>250</v>
      </c>
      <c r="C4841" s="26">
        <v>0.19444444444444445</v>
      </c>
      <c r="D4841" s="26">
        <v>0.28819444444444448</v>
      </c>
      <c r="E4841" s="26">
        <v>0.39583333333333331</v>
      </c>
      <c r="F4841" s="26">
        <f>E4841+'Lookup Tables'!$N$1</f>
        <v>0.41666666666666663</v>
      </c>
      <c r="G4841" s="26">
        <f>F4841+'Lookup Tables'!$N$1</f>
        <v>0.43749999999999994</v>
      </c>
      <c r="H4841" s="26">
        <f>G4841+'Lookup Tables'!$S$1</f>
        <v>0.44791666666666663</v>
      </c>
      <c r="I4841" s="26">
        <f>H4841+'Lookup Tables'!$S$1</f>
        <v>0.45833333333333331</v>
      </c>
      <c r="J4841" s="11"/>
      <c r="K4841" s="11"/>
      <c r="N4841">
        <f>MAX(F4838:M4838)-O4841</f>
        <v>22</v>
      </c>
      <c r="O4841" t="str">
        <f>RIGHT(E4838,3)</f>
        <v>378</v>
      </c>
    </row>
    <row r="4842" spans="1:16" ht="15.75" customHeight="1" x14ac:dyDescent="0.35">
      <c r="B4842" s="20" t="s">
        <v>251</v>
      </c>
      <c r="C4842" s="27">
        <v>0.2</v>
      </c>
      <c r="D4842" s="27">
        <v>0.5</v>
      </c>
      <c r="E4842" s="27"/>
      <c r="F4842" s="27"/>
      <c r="G4842" s="27">
        <v>0.25</v>
      </c>
      <c r="H4842" s="27"/>
      <c r="I4842" s="27"/>
      <c r="N4842" t="str">
        <f xml:space="preserve">  N4841 &amp; " degrees this time"</f>
        <v>22 degrees this time</v>
      </c>
    </row>
    <row r="4843" spans="1:16" ht="15.75" customHeight="1" x14ac:dyDescent="0.35">
      <c r="B4843" s="20" t="s">
        <v>252</v>
      </c>
      <c r="C4843" s="27">
        <v>0.9</v>
      </c>
      <c r="D4843" s="27">
        <v>0.7</v>
      </c>
      <c r="E4843" s="27">
        <v>0.6</v>
      </c>
      <c r="F4843" s="27"/>
      <c r="G4843" s="27"/>
      <c r="H4843" s="27"/>
      <c r="I4843" s="27" t="s">
        <v>275</v>
      </c>
    </row>
    <row r="4844" spans="1:16" ht="15.75" customHeight="1" x14ac:dyDescent="0.35">
      <c r="B4844" s="20"/>
      <c r="D4844" s="11"/>
      <c r="E4844" s="40"/>
      <c r="F4844" s="11"/>
      <c r="G4844" s="11"/>
      <c r="K4844" s="9" t="s">
        <v>516</v>
      </c>
      <c r="L4844" s="9"/>
      <c r="M4844" s="9"/>
    </row>
    <row r="4845" spans="1:16" ht="15.75" customHeight="1" x14ac:dyDescent="0.35">
      <c r="B4845" s="38"/>
      <c r="D4845" s="15"/>
      <c r="F4845" s="13"/>
      <c r="G4845" s="1" t="s">
        <v>296</v>
      </c>
      <c r="K4845" s="32"/>
      <c r="L4845" s="9"/>
      <c r="M4845" s="9"/>
    </row>
    <row r="4846" spans="1:16" ht="15.75" customHeight="1" x14ac:dyDescent="0.35">
      <c r="B4846" s="20"/>
      <c r="G4846" s="1"/>
      <c r="H4846" s="1"/>
      <c r="K4846" s="9"/>
      <c r="L4846" s="9"/>
      <c r="M4846" s="9"/>
    </row>
    <row r="4847" spans="1:16" ht="15.75" customHeight="1" x14ac:dyDescent="0.35">
      <c r="B4847" s="20"/>
      <c r="G4847" s="1"/>
      <c r="H4847" s="1"/>
      <c r="K4847" s="9" t="s">
        <v>297</v>
      </c>
      <c r="L4847" s="9"/>
      <c r="M4847" s="9"/>
    </row>
    <row r="4848" spans="1:16" ht="15.75" customHeight="1" x14ac:dyDescent="0.35">
      <c r="B4848" s="9"/>
      <c r="C4848" s="9"/>
      <c r="D4848" s="9"/>
      <c r="E4848" s="9"/>
      <c r="F4848" s="12"/>
      <c r="G4848" s="12"/>
      <c r="H4848" s="12"/>
      <c r="I4848" s="12"/>
      <c r="J4848" s="12"/>
      <c r="K4848" s="12"/>
      <c r="L4848" s="1"/>
    </row>
    <row r="4849" spans="1:16" ht="15.75" customHeight="1" x14ac:dyDescent="0.35">
      <c r="B4849" s="13"/>
      <c r="C4849" s="13"/>
      <c r="D4849" s="13"/>
      <c r="E4849" s="13"/>
      <c r="F4849" s="33" t="s">
        <v>473</v>
      </c>
      <c r="G4849" s="13"/>
      <c r="I4849" s="14"/>
      <c r="L4849" s="8">
        <f>E4856</f>
        <v>0.4375</v>
      </c>
    </row>
    <row r="4850" spans="1:16" x14ac:dyDescent="0.35">
      <c r="B4850" s="13" t="s">
        <v>5</v>
      </c>
      <c r="C4850" s="13" t="s">
        <v>1</v>
      </c>
      <c r="D4850" s="15" t="str">
        <f>VLOOKUP(A4851,Inventory!$A$4:$K$1139,7)</f>
        <v xml:space="preserve">GCBC                               </v>
      </c>
      <c r="F4850" s="13" t="s">
        <v>235</v>
      </c>
      <c r="G4850" s="16"/>
      <c r="H4850" s="14" t="s">
        <v>236</v>
      </c>
      <c r="L4850" s="8">
        <f>MAX(F4856:M4856)</f>
        <v>0.54166666666666663</v>
      </c>
      <c r="M4850" s="17"/>
    </row>
    <row r="4851" spans="1:16" x14ac:dyDescent="0.35">
      <c r="A4851">
        <v>149</v>
      </c>
      <c r="B4851" s="5">
        <v>43826</v>
      </c>
      <c r="C4851" s="15" t="str">
        <f>VLOOKUP(A4851,Inventory!$A$4:$K$1139,2)</f>
        <v>Organic Ethiopian Sidamo WP 2018 Decaf</v>
      </c>
      <c r="F4851" s="18" t="s">
        <v>237</v>
      </c>
      <c r="G4851" s="2" t="s">
        <v>238</v>
      </c>
      <c r="L4851" t="s">
        <v>564</v>
      </c>
      <c r="M4851" s="17"/>
      <c r="P4851" s="8"/>
    </row>
    <row r="4852" spans="1:16" x14ac:dyDescent="0.35">
      <c r="J4852" s="1" t="s">
        <v>16</v>
      </c>
      <c r="L4852" s="19">
        <f>L4849/L4850</f>
        <v>0.80769230769230771</v>
      </c>
      <c r="M4852" s="19"/>
    </row>
    <row r="4853" spans="1:16" x14ac:dyDescent="0.35">
      <c r="C4853" s="11" t="s">
        <v>240</v>
      </c>
      <c r="D4853" s="11" t="s">
        <v>241</v>
      </c>
      <c r="E4853" s="11" t="s">
        <v>556</v>
      </c>
      <c r="F4853" s="11">
        <v>370</v>
      </c>
      <c r="G4853" s="11">
        <v>375</v>
      </c>
      <c r="H4853" s="11">
        <v>381</v>
      </c>
      <c r="I4853" s="11">
        <v>388</v>
      </c>
      <c r="J4853" s="11">
        <v>393</v>
      </c>
      <c r="K4853" s="11" t="s">
        <v>370</v>
      </c>
      <c r="L4853" s="11"/>
      <c r="M4853" s="11"/>
    </row>
    <row r="4854" spans="1:16" ht="15.75" customHeight="1" x14ac:dyDescent="0.35">
      <c r="B4854" s="20" t="s">
        <v>242</v>
      </c>
      <c r="C4854" s="30"/>
      <c r="D4854" s="30"/>
      <c r="E4854" s="23" t="s">
        <v>244</v>
      </c>
      <c r="F4854" s="23" t="s">
        <v>245</v>
      </c>
      <c r="G4854" s="23" t="s">
        <v>246</v>
      </c>
      <c r="H4854" s="23" t="s">
        <v>247</v>
      </c>
      <c r="I4854" s="23" t="s">
        <v>259</v>
      </c>
      <c r="J4854" s="23" t="s">
        <v>261</v>
      </c>
      <c r="O4854" s="4"/>
    </row>
    <row r="4855" spans="1:16" ht="1" customHeight="1" x14ac:dyDescent="0.35">
      <c r="B4855" s="24" t="s">
        <v>249</v>
      </c>
      <c r="C4855" s="25">
        <v>320</v>
      </c>
      <c r="D4855" s="25">
        <v>350</v>
      </c>
      <c r="E4855" s="25">
        <v>377</v>
      </c>
      <c r="F4855" s="25">
        <v>384</v>
      </c>
      <c r="G4855" s="25">
        <v>388</v>
      </c>
      <c r="H4855" s="25">
        <v>392</v>
      </c>
      <c r="I4855" s="25">
        <v>395</v>
      </c>
      <c r="J4855" s="25">
        <v>408</v>
      </c>
      <c r="O4855" t="e">
        <f>(O4853-3*O4852)/O4854</f>
        <v>#DIV/0!</v>
      </c>
    </row>
    <row r="4856" spans="1:16" ht="15.75" customHeight="1" x14ac:dyDescent="0.35">
      <c r="B4856" s="20" t="s">
        <v>250</v>
      </c>
      <c r="C4856" s="26">
        <v>0.2638888888888889</v>
      </c>
      <c r="D4856" s="26">
        <v>0.35416666666666669</v>
      </c>
      <c r="E4856" s="26">
        <v>0.4375</v>
      </c>
      <c r="F4856" s="26">
        <f>E4856+'Lookup Tables'!$N$1</f>
        <v>0.45833333333333331</v>
      </c>
      <c r="G4856" s="26">
        <f>F4856+'Lookup Tables'!$N$1</f>
        <v>0.47916666666666663</v>
      </c>
      <c r="H4856" s="26">
        <f>G4856+'Lookup Tables'!$N$1</f>
        <v>0.49999999999999994</v>
      </c>
      <c r="I4856" s="26">
        <f>H4856+'Lookup Tables'!$N$1</f>
        <v>0.52083333333333326</v>
      </c>
      <c r="J4856" s="26">
        <f>I4856+'Lookup Tables'!$N$1</f>
        <v>0.54166666666666663</v>
      </c>
      <c r="N4856">
        <f>MAX(F4853:M4853)-O4856</f>
        <v>29</v>
      </c>
      <c r="O4856" t="str">
        <f>RIGHT(E4853,3)</f>
        <v>364</v>
      </c>
    </row>
    <row r="4857" spans="1:16" ht="15.75" customHeight="1" x14ac:dyDescent="0.35">
      <c r="B4857" s="20" t="s">
        <v>251</v>
      </c>
      <c r="C4857" s="27">
        <v>0.2</v>
      </c>
      <c r="D4857" s="27">
        <v>0.5</v>
      </c>
      <c r="E4857" s="27"/>
      <c r="F4857" s="27"/>
      <c r="G4857" s="27"/>
      <c r="H4857" s="27" t="s">
        <v>274</v>
      </c>
      <c r="I4857" s="27"/>
      <c r="J4857" s="27"/>
      <c r="N4857" t="str">
        <f xml:space="preserve">  N4856 &amp; " degrees this time"</f>
        <v>29 degrees this time</v>
      </c>
    </row>
    <row r="4858" spans="1:16" ht="15.75" customHeight="1" x14ac:dyDescent="0.35">
      <c r="B4858" s="20" t="s">
        <v>252</v>
      </c>
      <c r="C4858" s="27">
        <v>0.9</v>
      </c>
      <c r="D4858" s="27">
        <v>0.7</v>
      </c>
      <c r="E4858" s="27">
        <v>0.6</v>
      </c>
      <c r="F4858" s="27"/>
      <c r="G4858" s="27"/>
      <c r="H4858" s="27" t="s">
        <v>274</v>
      </c>
      <c r="I4858" s="27"/>
      <c r="J4858" s="27"/>
    </row>
    <row r="4859" spans="1:16" ht="15.75" customHeight="1" x14ac:dyDescent="0.35">
      <c r="B4859" s="20"/>
      <c r="D4859" s="11"/>
      <c r="E4859" s="11"/>
      <c r="F4859" s="28"/>
      <c r="H4859" s="1"/>
      <c r="I4859" s="1"/>
    </row>
    <row r="4860" spans="1:16" ht="15.75" customHeight="1" x14ac:dyDescent="0.35">
      <c r="G4860" s="1" t="s">
        <v>383</v>
      </c>
      <c r="K4860" s="9"/>
      <c r="L4860" s="9"/>
      <c r="M4860" s="9"/>
    </row>
    <row r="4861" spans="1:16" ht="15.75" customHeight="1" x14ac:dyDescent="0.35">
      <c r="B4861" s="20"/>
      <c r="G4861" s="1"/>
      <c r="H4861" s="1"/>
      <c r="K4861" s="9"/>
      <c r="L4861" s="9"/>
      <c r="M4861" s="9"/>
    </row>
    <row r="4862" spans="1:16" ht="15.75" customHeight="1" x14ac:dyDescent="0.35">
      <c r="B4862" s="20"/>
      <c r="G4862" s="1"/>
      <c r="H4862" s="1"/>
      <c r="K4862" s="9" t="s">
        <v>254</v>
      </c>
      <c r="L4862" s="9"/>
      <c r="M4862" s="9"/>
    </row>
    <row r="4863" spans="1:16" ht="15.75" customHeight="1" x14ac:dyDescent="0.35">
      <c r="B4863" s="9"/>
      <c r="C4863" s="9"/>
      <c r="D4863" s="9"/>
      <c r="E4863" s="9"/>
      <c r="F4863" s="12"/>
      <c r="G4863" s="12"/>
      <c r="H4863" s="12"/>
      <c r="I4863" s="12"/>
      <c r="J4863" s="12"/>
      <c r="K4863" s="12"/>
      <c r="L4863" s="1"/>
    </row>
    <row r="4864" spans="1:16" ht="15.75" customHeight="1" x14ac:dyDescent="0.35">
      <c r="B4864" s="13"/>
      <c r="C4864" s="13"/>
      <c r="D4864" s="15"/>
      <c r="H4864" s="14" t="s">
        <v>255</v>
      </c>
      <c r="I4864" s="14"/>
      <c r="L4864" s="8">
        <f>E4871</f>
        <v>0.40277777777777773</v>
      </c>
    </row>
    <row r="4865" spans="1:16" x14ac:dyDescent="0.35">
      <c r="B4865" s="13" t="s">
        <v>5</v>
      </c>
      <c r="C4865" s="13" t="s">
        <v>1</v>
      </c>
      <c r="D4865" s="15" t="str">
        <f>VLOOKUP(A4866,Inventory!$A$4:$K$1139,7)</f>
        <v xml:space="preserve">GCBC                               </v>
      </c>
      <c r="F4865" s="13" t="s">
        <v>235</v>
      </c>
      <c r="G4865" s="16"/>
      <c r="H4865" s="14" t="s">
        <v>256</v>
      </c>
      <c r="L4865" s="8">
        <f>MAX(F4871:M4871)</f>
        <v>0.50694444444444431</v>
      </c>
      <c r="M4865" s="17" t="s">
        <v>565</v>
      </c>
    </row>
    <row r="4866" spans="1:16" x14ac:dyDescent="0.35">
      <c r="A4866">
        <v>149</v>
      </c>
      <c r="B4866" s="5">
        <v>43826</v>
      </c>
      <c r="C4866" s="15" t="str">
        <f>VLOOKUP(A4866,Inventory!$A$4:$K$1139,2)</f>
        <v>Organic Ethiopian Sidamo WP 2018 Decaf</v>
      </c>
      <c r="F4866" s="18" t="s">
        <v>257</v>
      </c>
      <c r="G4866" s="2" t="s">
        <v>238</v>
      </c>
      <c r="L4866" t="s">
        <v>564</v>
      </c>
      <c r="M4866" s="17" t="s">
        <v>269</v>
      </c>
      <c r="P4866" s="8"/>
    </row>
    <row r="4867" spans="1:16" x14ac:dyDescent="0.35">
      <c r="L4867" s="19">
        <f>L4864/L4865</f>
        <v>0.79452054794520566</v>
      </c>
      <c r="M4867" s="19">
        <f>(LEFT(F4866,3)-LEFT(M4866,3))/LEFT(F4866,3)</f>
        <v>0.15</v>
      </c>
    </row>
    <row r="4868" spans="1:16" x14ac:dyDescent="0.35">
      <c r="C4868" s="11" t="s">
        <v>240</v>
      </c>
      <c r="D4868" s="11" t="s">
        <v>241</v>
      </c>
      <c r="E4868" s="11" t="s">
        <v>426</v>
      </c>
      <c r="F4868" s="11">
        <v>375</v>
      </c>
      <c r="G4868" s="11">
        <v>379</v>
      </c>
      <c r="H4868" s="11">
        <v>382</v>
      </c>
      <c r="I4868" s="11">
        <v>388</v>
      </c>
      <c r="J4868" s="11">
        <v>391</v>
      </c>
      <c r="K4868" s="11">
        <v>394</v>
      </c>
      <c r="L4868" s="11"/>
      <c r="M4868" s="11"/>
    </row>
    <row r="4869" spans="1:16" ht="15.75" customHeight="1" x14ac:dyDescent="0.35">
      <c r="B4869" s="20" t="s">
        <v>242</v>
      </c>
      <c r="C4869" s="30"/>
      <c r="D4869" s="30"/>
      <c r="E4869" s="23" t="s">
        <v>244</v>
      </c>
      <c r="F4869" s="23" t="s">
        <v>245</v>
      </c>
      <c r="G4869" s="23" t="s">
        <v>246</v>
      </c>
      <c r="H4869" s="23" t="s">
        <v>247</v>
      </c>
      <c r="I4869" s="23" t="s">
        <v>259</v>
      </c>
      <c r="J4869" s="23" t="s">
        <v>260</v>
      </c>
      <c r="K4869" s="23" t="s">
        <v>261</v>
      </c>
      <c r="O4869" s="4"/>
    </row>
    <row r="4870" spans="1:16" ht="1" customHeight="1" x14ac:dyDescent="0.35">
      <c r="B4870" s="24" t="s">
        <v>249</v>
      </c>
      <c r="C4870" s="25">
        <v>320</v>
      </c>
      <c r="D4870" s="25">
        <v>350</v>
      </c>
      <c r="E4870" s="25">
        <v>377</v>
      </c>
      <c r="F4870" s="25">
        <v>384</v>
      </c>
      <c r="G4870" s="25">
        <v>388</v>
      </c>
      <c r="H4870" s="25">
        <v>392</v>
      </c>
      <c r="I4870" s="25">
        <v>395</v>
      </c>
      <c r="J4870" s="25">
        <v>415</v>
      </c>
      <c r="K4870" s="25">
        <v>415</v>
      </c>
      <c r="O4870" t="e">
        <f>(O4868-3*O4867)/O4869</f>
        <v>#DIV/0!</v>
      </c>
    </row>
    <row r="4871" spans="1:16" ht="15.75" customHeight="1" x14ac:dyDescent="0.35">
      <c r="B4871" s="20" t="s">
        <v>250</v>
      </c>
      <c r="C4871" s="26">
        <v>0.22569444444444445</v>
      </c>
      <c r="D4871" s="26">
        <v>0.30555555555555552</v>
      </c>
      <c r="E4871" s="26">
        <v>0.40277777777777773</v>
      </c>
      <c r="F4871" s="26">
        <f>E4871+'Lookup Tables'!$N$1</f>
        <v>0.42361111111111105</v>
      </c>
      <c r="G4871" s="26">
        <f>F4871+'Lookup Tables'!$N$1</f>
        <v>0.44444444444444436</v>
      </c>
      <c r="H4871" s="26">
        <f>G4871+'Lookup Tables'!$N$1</f>
        <v>0.46527777777777768</v>
      </c>
      <c r="I4871" s="26">
        <f>H4871+'Lookup Tables'!$N$1</f>
        <v>0.48611111111111099</v>
      </c>
      <c r="J4871" s="26">
        <f>I4871+'Lookup Tables'!$M$1</f>
        <v>0.49652777777777768</v>
      </c>
      <c r="K4871" s="26">
        <f>J4871+'Lookup Tables'!$M$1</f>
        <v>0.50694444444444431</v>
      </c>
      <c r="N4871">
        <f>MAX(F4868:M4868)-O4871</f>
        <v>24</v>
      </c>
      <c r="O4871" t="str">
        <f>RIGHT(E4868,3)</f>
        <v>370</v>
      </c>
    </row>
    <row r="4872" spans="1:16" ht="15.75" customHeight="1" x14ac:dyDescent="0.35">
      <c r="B4872" s="20" t="s">
        <v>251</v>
      </c>
      <c r="C4872" s="27">
        <v>0.2</v>
      </c>
      <c r="D4872" s="27">
        <v>0.5</v>
      </c>
      <c r="E4872" s="27"/>
      <c r="F4872" s="27"/>
      <c r="G4872" s="27"/>
      <c r="H4872" s="27"/>
      <c r="I4872" s="27"/>
      <c r="J4872" s="27"/>
      <c r="K4872" s="25"/>
      <c r="N4872" t="str">
        <f xml:space="preserve">  N4871 &amp; " degrees this time"</f>
        <v>24 degrees this time</v>
      </c>
    </row>
    <row r="4873" spans="1:16" ht="15.75" customHeight="1" x14ac:dyDescent="0.35">
      <c r="B4873" s="20" t="s">
        <v>252</v>
      </c>
      <c r="C4873" s="27">
        <v>0.9</v>
      </c>
      <c r="D4873" s="27">
        <v>0.7</v>
      </c>
      <c r="E4873" s="27">
        <v>0.6</v>
      </c>
      <c r="F4873" s="27"/>
      <c r="G4873" s="27"/>
      <c r="H4873" s="27"/>
      <c r="I4873" s="27"/>
      <c r="J4873" s="27"/>
      <c r="K4873" s="27"/>
    </row>
    <row r="4874" spans="1:16" ht="15.75" customHeight="1" x14ac:dyDescent="0.35">
      <c r="B4874" s="20"/>
      <c r="D4874" s="11"/>
      <c r="E4874" s="11"/>
      <c r="F4874" s="28"/>
      <c r="H4874" s="1"/>
    </row>
    <row r="4875" spans="1:16" ht="15.75" customHeight="1" x14ac:dyDescent="0.35">
      <c r="B4875" s="1" t="s">
        <v>385</v>
      </c>
      <c r="F4875" t="s">
        <v>263</v>
      </c>
      <c r="G4875" s="1"/>
      <c r="K4875" s="9" t="s">
        <v>386</v>
      </c>
      <c r="L4875" s="9"/>
      <c r="M4875" s="9"/>
    </row>
    <row r="4876" spans="1:16" ht="15.75" customHeight="1" x14ac:dyDescent="0.35">
      <c r="B4876" s="20" t="s">
        <v>264</v>
      </c>
      <c r="D4876" s="29"/>
      <c r="F4876" t="s">
        <v>265</v>
      </c>
      <c r="G4876" s="1"/>
      <c r="H4876" s="1"/>
      <c r="K4876" s="9"/>
      <c r="L4876" s="9"/>
      <c r="M4876" s="9"/>
    </row>
    <row r="4877" spans="1:16" ht="15.75" customHeight="1" x14ac:dyDescent="0.35">
      <c r="B4877" s="20" t="s">
        <v>267</v>
      </c>
      <c r="F4877" t="s">
        <v>268</v>
      </c>
      <c r="G4877" s="1"/>
      <c r="H4877" s="1"/>
      <c r="K4877" s="9" t="s">
        <v>254</v>
      </c>
      <c r="L4877" s="9"/>
      <c r="M4877" s="9"/>
    </row>
    <row r="4878" spans="1:16" ht="15.75" customHeight="1" x14ac:dyDescent="0.35">
      <c r="B4878" s="9"/>
      <c r="C4878" s="9"/>
      <c r="D4878" s="9"/>
      <c r="E4878" s="9"/>
      <c r="F4878" s="12"/>
      <c r="G4878" s="12"/>
      <c r="H4878" s="12"/>
      <c r="I4878" s="12"/>
      <c r="J4878" s="12"/>
      <c r="K4878" s="12"/>
      <c r="L4878" s="1"/>
    </row>
    <row r="4879" spans="1:16" ht="15.75" customHeight="1" x14ac:dyDescent="0.35">
      <c r="B4879" s="13"/>
      <c r="C4879" s="13"/>
      <c r="D4879" s="13"/>
      <c r="E4879" s="13"/>
      <c r="F4879" s="33" t="s">
        <v>476</v>
      </c>
      <c r="G4879" s="13"/>
      <c r="I4879" s="14"/>
      <c r="L4879" s="8">
        <f>E4886</f>
        <v>0.40972222222222227</v>
      </c>
    </row>
    <row r="4880" spans="1:16" x14ac:dyDescent="0.35">
      <c r="B4880" s="13" t="s">
        <v>5</v>
      </c>
      <c r="C4880" s="13" t="s">
        <v>1</v>
      </c>
      <c r="D4880" s="15" t="str">
        <f>VLOOKUP(A4881,Inventory!$A$4:$K$1139,7)</f>
        <v xml:space="preserve">GCBC                               </v>
      </c>
      <c r="F4880" s="13" t="s">
        <v>235</v>
      </c>
      <c r="G4880" s="16"/>
      <c r="H4880" s="14" t="s">
        <v>236</v>
      </c>
      <c r="L4880" s="8">
        <f>MAX(F4886:M4886)</f>
        <v>0.50347222222222221</v>
      </c>
      <c r="M4880" s="17" t="s">
        <v>565</v>
      </c>
    </row>
    <row r="4881" spans="1:16" x14ac:dyDescent="0.35">
      <c r="A4881">
        <v>149</v>
      </c>
      <c r="B4881" s="5">
        <v>43826</v>
      </c>
      <c r="C4881" s="15" t="str">
        <f>VLOOKUP(A4881,Inventory!$A$4:$K$1139,2)</f>
        <v>Organic Ethiopian Sidamo WP 2018 Decaf</v>
      </c>
      <c r="F4881" s="18" t="s">
        <v>237</v>
      </c>
      <c r="G4881" s="2" t="s">
        <v>238</v>
      </c>
      <c r="L4881" t="s">
        <v>564</v>
      </c>
      <c r="M4881" s="17" t="s">
        <v>566</v>
      </c>
      <c r="P4881" s="8"/>
    </row>
    <row r="4882" spans="1:16" x14ac:dyDescent="0.35">
      <c r="J4882" s="1" t="s">
        <v>16</v>
      </c>
      <c r="L4882" s="19">
        <f>L4879/L4880</f>
        <v>0.81379310344827593</v>
      </c>
      <c r="M4882" s="19">
        <f>(LEFT(F4881,3)-LEFT(M4881,3))/LEFT(F4881,3)</f>
        <v>0.1409090909090909</v>
      </c>
    </row>
    <row r="4883" spans="1:16" x14ac:dyDescent="0.35">
      <c r="C4883" s="11" t="s">
        <v>240</v>
      </c>
      <c r="D4883" s="11" t="s">
        <v>241</v>
      </c>
      <c r="E4883" s="11" t="s">
        <v>451</v>
      </c>
      <c r="F4883" s="11">
        <v>371</v>
      </c>
      <c r="G4883" s="11">
        <v>376</v>
      </c>
      <c r="H4883" s="11">
        <v>382</v>
      </c>
      <c r="I4883" s="11">
        <v>389</v>
      </c>
      <c r="J4883" s="11">
        <v>392</v>
      </c>
      <c r="K4883" s="11"/>
      <c r="L4883" s="11"/>
      <c r="M4883" s="11"/>
    </row>
    <row r="4884" spans="1:16" ht="15.75" customHeight="1" x14ac:dyDescent="0.35">
      <c r="B4884" s="20" t="s">
        <v>242</v>
      </c>
      <c r="C4884" s="30"/>
      <c r="D4884" s="30"/>
      <c r="E4884" s="23" t="s">
        <v>244</v>
      </c>
      <c r="F4884" s="23" t="s">
        <v>245</v>
      </c>
      <c r="G4884" s="23" t="s">
        <v>246</v>
      </c>
      <c r="H4884" s="23" t="s">
        <v>247</v>
      </c>
      <c r="I4884" s="23" t="s">
        <v>259</v>
      </c>
      <c r="J4884" s="23" t="s">
        <v>260</v>
      </c>
      <c r="O4884" s="4"/>
    </row>
    <row r="4885" spans="1:16" ht="1" customHeight="1" x14ac:dyDescent="0.35">
      <c r="B4885" s="24" t="s">
        <v>249</v>
      </c>
      <c r="C4885" s="25">
        <v>320</v>
      </c>
      <c r="D4885" s="25">
        <v>350</v>
      </c>
      <c r="E4885" s="25">
        <v>377</v>
      </c>
      <c r="F4885" s="25">
        <v>384</v>
      </c>
      <c r="G4885" s="25">
        <v>388</v>
      </c>
      <c r="H4885" s="25">
        <v>392</v>
      </c>
      <c r="I4885" s="25">
        <v>395</v>
      </c>
      <c r="J4885" s="25">
        <v>415</v>
      </c>
      <c r="O4885" t="e">
        <f>(O4883-3*O4882)/O4884</f>
        <v>#DIV/0!</v>
      </c>
    </row>
    <row r="4886" spans="1:16" ht="15.75" customHeight="1" x14ac:dyDescent="0.35">
      <c r="B4886" s="20" t="s">
        <v>250</v>
      </c>
      <c r="C4886" s="26">
        <v>0.25</v>
      </c>
      <c r="D4886" s="26">
        <v>0.3263888888888889</v>
      </c>
      <c r="E4886" s="26">
        <v>0.40972222222222227</v>
      </c>
      <c r="F4886" s="26">
        <f>E4886+'Lookup Tables'!$N$1</f>
        <v>0.43055555555555558</v>
      </c>
      <c r="G4886" s="26">
        <f>F4886+'Lookup Tables'!$N$1</f>
        <v>0.4513888888888889</v>
      </c>
      <c r="H4886" s="26">
        <f>G4886+'Lookup Tables'!$N$1</f>
        <v>0.47222222222222221</v>
      </c>
      <c r="I4886" s="26">
        <f>H4886+'Lookup Tables'!$N$1</f>
        <v>0.49305555555555552</v>
      </c>
      <c r="J4886" s="26">
        <f>I4886+'Lookup Tables'!$M$1</f>
        <v>0.50347222222222221</v>
      </c>
      <c r="N4886">
        <f>MAX(F4883:M4883)-O4886</f>
        <v>27</v>
      </c>
      <c r="O4886" t="str">
        <f>RIGHT(E4883,3)</f>
        <v>365</v>
      </c>
    </row>
    <row r="4887" spans="1:16" ht="15.75" customHeight="1" x14ac:dyDescent="0.35">
      <c r="B4887" s="20" t="s">
        <v>251</v>
      </c>
      <c r="C4887" s="27">
        <v>0.2</v>
      </c>
      <c r="D4887" s="27">
        <v>0.5</v>
      </c>
      <c r="E4887" s="27"/>
      <c r="F4887" s="27"/>
      <c r="G4887" s="27"/>
      <c r="H4887" s="27" t="s">
        <v>274</v>
      </c>
      <c r="I4887" s="27"/>
      <c r="J4887" s="27"/>
      <c r="N4887" t="str">
        <f xml:space="preserve">  N4886 &amp; " degrees this time"</f>
        <v>27 degrees this time</v>
      </c>
    </row>
    <row r="4888" spans="1:16" ht="15.75" customHeight="1" x14ac:dyDescent="0.35">
      <c r="B4888" s="20" t="s">
        <v>252</v>
      </c>
      <c r="C4888" s="27">
        <v>0.9</v>
      </c>
      <c r="D4888" s="27">
        <v>0.7</v>
      </c>
      <c r="E4888" s="27">
        <v>0.6</v>
      </c>
      <c r="F4888" s="27"/>
      <c r="G4888" s="27"/>
      <c r="H4888" s="27" t="s">
        <v>274</v>
      </c>
      <c r="I4888" s="27"/>
      <c r="J4888" s="27"/>
    </row>
    <row r="4889" spans="1:16" ht="15.75" customHeight="1" x14ac:dyDescent="0.35">
      <c r="B4889" s="20"/>
      <c r="D4889" s="11"/>
      <c r="E4889" s="11"/>
      <c r="F4889" s="28"/>
      <c r="H4889" s="1"/>
      <c r="I4889" s="1"/>
    </row>
    <row r="4890" spans="1:16" ht="15.75" customHeight="1" x14ac:dyDescent="0.35">
      <c r="G4890" s="1" t="s">
        <v>383</v>
      </c>
      <c r="K4890" s="9"/>
      <c r="L4890" s="9"/>
      <c r="M4890" s="9"/>
    </row>
    <row r="4891" spans="1:16" ht="15.75" customHeight="1" x14ac:dyDescent="0.35">
      <c r="B4891" s="20"/>
      <c r="G4891" s="1"/>
      <c r="H4891" s="1"/>
      <c r="K4891" s="9"/>
      <c r="L4891" s="9"/>
      <c r="M4891" s="9"/>
    </row>
    <row r="4892" spans="1:16" ht="15.75" customHeight="1" x14ac:dyDescent="0.35">
      <c r="B4892" s="20"/>
      <c r="G4892" s="1"/>
      <c r="H4892" s="1"/>
      <c r="K4892" s="9" t="s">
        <v>254</v>
      </c>
      <c r="L4892" s="9"/>
      <c r="M4892" s="9"/>
    </row>
    <row r="4893" spans="1:16" ht="15.75" customHeight="1" x14ac:dyDescent="0.35">
      <c r="B4893" s="9"/>
      <c r="C4893" s="9"/>
      <c r="D4893" s="9"/>
      <c r="E4893" s="9"/>
      <c r="F4893" s="12"/>
      <c r="G4893" s="12"/>
      <c r="H4893" s="12"/>
      <c r="I4893" s="12"/>
      <c r="J4893" s="12"/>
      <c r="K4893" s="12"/>
      <c r="L4893" s="1"/>
    </row>
    <row r="4894" spans="1:16" ht="15.75" customHeight="1" x14ac:dyDescent="0.35">
      <c r="B4894" s="13"/>
      <c r="C4894" s="13"/>
      <c r="D4894" s="15"/>
      <c r="H4894" s="14" t="s">
        <v>255</v>
      </c>
      <c r="I4894" s="14"/>
      <c r="L4894" s="8">
        <f>E4901</f>
        <v>0.39583333333333331</v>
      </c>
    </row>
    <row r="4895" spans="1:16" x14ac:dyDescent="0.35">
      <c r="B4895" s="13" t="s">
        <v>5</v>
      </c>
      <c r="C4895" s="13" t="s">
        <v>1</v>
      </c>
      <c r="D4895" s="15" t="str">
        <f>VLOOKUP(A4896,Inventory!$A$4:$K$1139,7)</f>
        <v xml:space="preserve">GCBC                               </v>
      </c>
      <c r="F4895" s="13" t="s">
        <v>235</v>
      </c>
      <c r="G4895" s="16"/>
      <c r="H4895" s="14" t="s">
        <v>256</v>
      </c>
      <c r="L4895" s="8">
        <f>MAX(F4901:M4901)</f>
        <v>0.49999999999999994</v>
      </c>
      <c r="M4895" s="17" t="s">
        <v>565</v>
      </c>
    </row>
    <row r="4896" spans="1:16" x14ac:dyDescent="0.35">
      <c r="A4896">
        <v>149</v>
      </c>
      <c r="B4896" s="5">
        <v>43826</v>
      </c>
      <c r="C4896" s="15" t="str">
        <f>VLOOKUP(A4896,Inventory!$A$4:$K$1139,2)</f>
        <v>Organic Ethiopian Sidamo WP 2018 Decaf</v>
      </c>
      <c r="F4896" s="18" t="s">
        <v>257</v>
      </c>
      <c r="G4896" s="2" t="s">
        <v>238</v>
      </c>
      <c r="L4896" t="s">
        <v>564</v>
      </c>
      <c r="M4896" s="17" t="s">
        <v>315</v>
      </c>
      <c r="P4896" s="8"/>
    </row>
    <row r="4897" spans="2:15" x14ac:dyDescent="0.35">
      <c r="L4897" s="19">
        <f>L4894/L4895</f>
        <v>0.79166666666666674</v>
      </c>
      <c r="M4897" s="19">
        <f>(LEFT(F4896,3)-LEFT(M4896,3))/LEFT(F4896,3)</f>
        <v>0.14583333333333334</v>
      </c>
    </row>
    <row r="4898" spans="2:15" x14ac:dyDescent="0.35">
      <c r="C4898" s="11" t="s">
        <v>240</v>
      </c>
      <c r="D4898" s="11" t="s">
        <v>241</v>
      </c>
      <c r="E4898" s="11" t="s">
        <v>426</v>
      </c>
      <c r="F4898" s="11">
        <v>375</v>
      </c>
      <c r="G4898" s="11">
        <v>381</v>
      </c>
      <c r="H4898" s="11">
        <v>386</v>
      </c>
      <c r="I4898" s="11">
        <v>391</v>
      </c>
      <c r="J4898" s="11">
        <v>394</v>
      </c>
      <c r="K4898" s="11"/>
      <c r="L4898" s="11"/>
      <c r="M4898" s="11"/>
    </row>
    <row r="4899" spans="2:15" ht="15.75" customHeight="1" x14ac:dyDescent="0.35">
      <c r="B4899" s="20" t="s">
        <v>242</v>
      </c>
      <c r="C4899" s="30"/>
      <c r="D4899" s="30"/>
      <c r="E4899" s="23" t="s">
        <v>244</v>
      </c>
      <c r="F4899" s="23" t="s">
        <v>245</v>
      </c>
      <c r="G4899" s="23" t="s">
        <v>246</v>
      </c>
      <c r="H4899" s="23" t="s">
        <v>247</v>
      </c>
      <c r="I4899" s="23" t="s">
        <v>259</v>
      </c>
      <c r="J4899" s="23" t="s">
        <v>260</v>
      </c>
      <c r="K4899" s="23" t="s">
        <v>261</v>
      </c>
      <c r="O4899" s="4"/>
    </row>
    <row r="4900" spans="2:15" ht="1" customHeight="1" x14ac:dyDescent="0.35">
      <c r="B4900" s="24" t="s">
        <v>249</v>
      </c>
      <c r="C4900" s="25">
        <v>320</v>
      </c>
      <c r="D4900" s="25">
        <v>350</v>
      </c>
      <c r="E4900" s="25">
        <v>377</v>
      </c>
      <c r="F4900" s="25">
        <v>384</v>
      </c>
      <c r="G4900" s="25">
        <v>388</v>
      </c>
      <c r="H4900" s="25">
        <v>392</v>
      </c>
      <c r="I4900" s="25">
        <v>395</v>
      </c>
      <c r="J4900" s="25">
        <v>415</v>
      </c>
      <c r="K4900" s="25">
        <v>415</v>
      </c>
      <c r="O4900" t="e">
        <f>(O4898-3*O4897)/O4899</f>
        <v>#DIV/0!</v>
      </c>
    </row>
    <row r="4901" spans="2:15" ht="15.75" customHeight="1" x14ac:dyDescent="0.35">
      <c r="B4901" s="20" t="s">
        <v>250</v>
      </c>
      <c r="C4901" s="26">
        <v>0.21527777777777779</v>
      </c>
      <c r="D4901" s="26">
        <v>0.2951388888888889</v>
      </c>
      <c r="E4901" s="26">
        <v>0.39583333333333331</v>
      </c>
      <c r="F4901" s="26">
        <f>E4901+'Lookup Tables'!$N$1</f>
        <v>0.41666666666666663</v>
      </c>
      <c r="G4901" s="26">
        <f>F4901+'Lookup Tables'!$N$1</f>
        <v>0.43749999999999994</v>
      </c>
      <c r="H4901" s="26">
        <f>G4901+'Lookup Tables'!$N$1</f>
        <v>0.45833333333333326</v>
      </c>
      <c r="I4901" s="26">
        <f>H4901+'Lookup Tables'!$N$1</f>
        <v>0.47916666666666657</v>
      </c>
      <c r="J4901" s="26">
        <f>I4901+'Lookup Tables'!$M$1</f>
        <v>0.48958333333333326</v>
      </c>
      <c r="K4901" s="26">
        <f>J4901+'Lookup Tables'!$M$1</f>
        <v>0.49999999999999994</v>
      </c>
      <c r="N4901">
        <f>MAX(F4898:M4898)-O4901</f>
        <v>24</v>
      </c>
      <c r="O4901" t="str">
        <f>RIGHT(E4898,3)</f>
        <v>370</v>
      </c>
    </row>
    <row r="4902" spans="2:15" ht="15.75" customHeight="1" x14ac:dyDescent="0.35">
      <c r="B4902" s="20" t="s">
        <v>251</v>
      </c>
      <c r="C4902" s="27">
        <v>0.2</v>
      </c>
      <c r="D4902" s="27">
        <v>0.5</v>
      </c>
      <c r="E4902" s="27"/>
      <c r="F4902" s="27"/>
      <c r="G4902" s="27"/>
      <c r="H4902" s="27"/>
      <c r="I4902" s="27"/>
      <c r="J4902" s="27"/>
      <c r="K4902" s="25"/>
      <c r="N4902" t="str">
        <f xml:space="preserve">  N4901 &amp; " degrees this time"</f>
        <v>24 degrees this time</v>
      </c>
    </row>
    <row r="4903" spans="2:15" ht="15.75" customHeight="1" x14ac:dyDescent="0.35">
      <c r="B4903" s="20" t="s">
        <v>252</v>
      </c>
      <c r="C4903" s="27">
        <v>0.9</v>
      </c>
      <c r="D4903" s="27">
        <v>0.7</v>
      </c>
      <c r="E4903" s="27">
        <v>0.6</v>
      </c>
      <c r="F4903" s="27"/>
      <c r="G4903" s="27"/>
      <c r="H4903" s="27"/>
      <c r="I4903" s="27"/>
      <c r="J4903" s="27"/>
      <c r="K4903" s="27"/>
    </row>
    <row r="4904" spans="2:15" ht="15.75" customHeight="1" x14ac:dyDescent="0.35">
      <c r="B4904" s="20"/>
      <c r="D4904" s="11"/>
      <c r="E4904" s="11"/>
      <c r="F4904" s="28"/>
      <c r="H4904" s="1"/>
    </row>
    <row r="4905" spans="2:15" ht="15.75" customHeight="1" x14ac:dyDescent="0.35">
      <c r="B4905" s="1" t="s">
        <v>385</v>
      </c>
      <c r="F4905" t="s">
        <v>263</v>
      </c>
      <c r="G4905" s="1"/>
      <c r="K4905" s="9" t="s">
        <v>386</v>
      </c>
      <c r="L4905" s="9"/>
      <c r="M4905" s="9"/>
    </row>
    <row r="4906" spans="2:15" ht="15.75" customHeight="1" x14ac:dyDescent="0.35">
      <c r="B4906" s="20" t="s">
        <v>264</v>
      </c>
      <c r="D4906" s="29"/>
      <c r="F4906" t="s">
        <v>265</v>
      </c>
      <c r="G4906" s="1"/>
      <c r="H4906" s="1"/>
      <c r="K4906" s="9"/>
      <c r="L4906" s="9"/>
      <c r="M4906" s="9"/>
    </row>
    <row r="4907" spans="2:15" ht="15.75" customHeight="1" x14ac:dyDescent="0.35">
      <c r="B4907" s="20" t="s">
        <v>267</v>
      </c>
      <c r="F4907" t="s">
        <v>268</v>
      </c>
      <c r="G4907" s="1"/>
      <c r="H4907" s="1"/>
      <c r="K4907" s="9" t="s">
        <v>254</v>
      </c>
      <c r="L4907" s="9"/>
      <c r="M4907" s="9"/>
    </row>
    <row r="4908" spans="2:15" ht="15.75" customHeight="1" x14ac:dyDescent="0.35">
      <c r="B4908" s="9"/>
      <c r="C4908" s="9"/>
      <c r="D4908" s="9"/>
      <c r="E4908" s="9"/>
      <c r="F4908" s="12"/>
      <c r="G4908" s="12"/>
      <c r="H4908" s="12"/>
      <c r="I4908" s="12"/>
      <c r="J4908" s="12"/>
      <c r="K4908" s="12"/>
      <c r="L4908" s="1"/>
    </row>
  </sheetData>
  <pageMargins left="0.21" right="0.17" top="1.2" bottom="1" header="0.71" footer="0.5"/>
  <pageSetup scale="95" orientation="landscape" r:id="rId1"/>
  <headerFooter alignWithMargins="0"/>
  <rowBreaks count="329" manualBreakCount="329">
    <brk id="17" max="12" man="1"/>
    <brk id="32" max="12" man="1"/>
    <brk id="47" max="12" man="1"/>
    <brk id="62" max="12" man="1"/>
    <brk id="77" max="12" man="1"/>
    <brk id="92" max="12" man="1"/>
    <brk id="107" max="12" man="1"/>
    <brk id="122" max="12" man="1"/>
    <brk id="137" max="12" man="1"/>
    <brk id="152" max="12" man="1"/>
    <brk id="167" max="12" man="1"/>
    <brk id="182" max="12" man="1"/>
    <brk id="197" max="12" man="1"/>
    <brk id="212" max="12" man="1"/>
    <brk id="227" max="12" man="1"/>
    <brk id="242" max="12" man="1"/>
    <brk id="257" max="12" man="1"/>
    <brk id="272" max="12" man="1"/>
    <brk id="287" max="12" man="1"/>
    <brk id="302" max="12" man="1"/>
    <brk id="317" max="12" man="1"/>
    <brk id="332" max="12" man="1"/>
    <brk id="347" max="12" man="1"/>
    <brk id="362" max="12" man="1"/>
    <brk id="377" max="12" man="1"/>
    <brk id="392" max="12" man="1"/>
    <brk id="407" max="12" man="1"/>
    <brk id="422" max="12" man="1"/>
    <brk id="437" max="12" man="1"/>
    <brk id="452" max="12" man="1"/>
    <brk id="467" max="12" man="1"/>
    <brk id="482" max="12" man="1"/>
    <brk id="497" max="12" man="1"/>
    <brk id="512" max="12" man="1"/>
    <brk id="527" max="12" man="1"/>
    <brk id="542" max="12" man="1"/>
    <brk id="557" max="12" man="1"/>
    <brk id="572" max="12" man="1"/>
    <brk id="587" max="12" man="1"/>
    <brk id="602" max="12" man="1"/>
    <brk id="617" max="12" man="1"/>
    <brk id="632" max="12" man="1"/>
    <brk id="647" max="12" man="1"/>
    <brk id="662" max="12" man="1"/>
    <brk id="677" max="12" man="1"/>
    <brk id="692" max="12" man="1"/>
    <brk id="707" max="12" man="1"/>
    <brk id="722" max="12" man="1"/>
    <brk id="737" max="12" man="1"/>
    <brk id="752" max="12" man="1"/>
    <brk id="767" max="12" man="1"/>
    <brk id="782" max="12" man="1"/>
    <brk id="797" max="12" man="1"/>
    <brk id="812" max="12" man="1"/>
    <brk id="827" max="12" man="1"/>
    <brk id="842" max="12" man="1"/>
    <brk id="857" max="12" man="1"/>
    <brk id="872" max="12" man="1"/>
    <brk id="887" max="12" man="1"/>
    <brk id="902" max="12" man="1"/>
    <brk id="917" max="12" man="1"/>
    <brk id="932" max="12" man="1"/>
    <brk id="947" max="12" man="1"/>
    <brk id="962" max="12" man="1"/>
    <brk id="977" max="12" man="1"/>
    <brk id="992" max="12" man="1"/>
    <brk id="1007" max="12" man="1"/>
    <brk id="1022" max="12" man="1"/>
    <brk id="1037" max="12" man="1"/>
    <brk id="1052" max="12" man="1"/>
    <brk id="1067" max="12" man="1"/>
    <brk id="1082" max="12" man="1"/>
    <brk id="1097" max="12" man="1"/>
    <brk id="1112" max="12" man="1"/>
    <brk id="1127" max="12" man="1"/>
    <brk id="1142" max="12" man="1"/>
    <brk id="1157" max="12" man="1"/>
    <brk id="1172" max="12" man="1"/>
    <brk id="1187" max="12" man="1"/>
    <brk id="1202" max="12" man="1"/>
    <brk id="1217" max="12" man="1"/>
    <brk id="1262" max="12" man="1"/>
    <brk id="1277" max="12" man="1"/>
    <brk id="1292" max="12" man="1"/>
    <brk id="1307" max="12" man="1"/>
    <brk id="1322" max="12" man="1"/>
    <brk id="1337" max="12" man="1"/>
    <brk id="1352" max="12" man="1"/>
    <brk id="1367" max="12" man="1"/>
    <brk id="1382" max="12" man="1"/>
    <brk id="1397" max="12" man="1"/>
    <brk id="1412" max="12" man="1"/>
    <brk id="1427" max="12" man="1"/>
    <brk id="1442" max="12" man="1"/>
    <brk id="1457" max="12" man="1"/>
    <brk id="1472" max="12" man="1"/>
    <brk id="1487" max="12" man="1"/>
    <brk id="1502" max="12" man="1"/>
    <brk id="1517" max="12" man="1"/>
    <brk id="1532" max="12" man="1"/>
    <brk id="1547" max="12" man="1"/>
    <brk id="1562" max="12" man="1"/>
    <brk id="1577" max="12" man="1"/>
    <brk id="1592" max="12" man="1"/>
    <brk id="1607" max="12" man="1"/>
    <brk id="1622" max="12" man="1"/>
    <brk id="1637" max="12" man="1"/>
    <brk id="1652" max="12" man="1"/>
    <brk id="1667" max="12" man="1"/>
    <brk id="1682" max="12" man="1"/>
    <brk id="1697" max="12" man="1"/>
    <brk id="1712" max="12" man="1"/>
    <brk id="1727" max="12" man="1"/>
    <brk id="1742" max="12" man="1"/>
    <brk id="1757" max="12" man="1"/>
    <brk id="1772" max="12" man="1"/>
    <brk id="1787" max="12" man="1"/>
    <brk id="1802" max="12" man="1"/>
    <brk id="1817" max="12" man="1"/>
    <brk id="1832" max="12" man="1"/>
    <brk id="1847" max="12" man="1"/>
    <brk id="1862" max="12" man="1"/>
    <brk id="1877" max="12" man="1"/>
    <brk id="1892" max="12" man="1"/>
    <brk id="1907" max="12" man="1"/>
    <brk id="1922" max="12" man="1"/>
    <brk id="1667" max="12" man="1"/>
    <brk id="1682" max="12" man="1"/>
    <brk id="1697" max="12" man="1"/>
    <brk id="1712" max="12" man="1"/>
    <brk id="1937" max="12" man="1"/>
    <brk id="1952" max="12" man="1"/>
    <brk id="1967" max="12" man="1"/>
    <brk id="1982" max="12" man="1"/>
    <brk id="1997" max="12" man="1"/>
    <brk id="2012" max="12" man="1"/>
    <brk id="2027" max="12" man="1"/>
    <brk id="2042" max="12" man="1"/>
    <brk id="2057" max="12" man="1"/>
    <brk id="2072" max="12" man="1"/>
    <brk id="2087" max="12" man="1"/>
    <brk id="2102" max="12" man="1"/>
    <brk id="2117" max="12" man="1"/>
    <brk id="2132" max="12" man="1"/>
    <brk id="2147" max="12" man="1"/>
    <brk id="2162" max="12" man="1"/>
    <brk id="2177" max="12" man="1"/>
    <brk id="2192" max="12" man="1"/>
    <brk id="2207" max="12" man="1"/>
    <brk id="2222" max="12" man="1"/>
    <brk id="2237" max="12" man="1"/>
    <brk id="2252" max="12" man="1"/>
    <brk id="2267" max="12" man="1"/>
    <brk id="2282" max="12" man="1"/>
    <brk id="2297" max="12" man="1"/>
    <brk id="2312" max="12" man="1"/>
    <brk id="2327" max="12" man="1"/>
    <brk id="2342" max="12" man="1"/>
    <brk id="2357" max="12" man="1"/>
    <brk id="2372" max="12" man="1"/>
    <brk id="2387" max="12" man="1"/>
    <brk id="2402" max="12" man="1"/>
    <brk id="2417" max="12" man="1"/>
    <brk id="2432" max="12" man="1"/>
    <brk id="2447" max="12" man="1"/>
    <brk id="2462" max="12" man="1"/>
    <brk id="2477" max="12" man="1"/>
    <brk id="2492" max="12" man="1"/>
    <brk id="2507" max="12" man="1"/>
    <brk id="2522" max="12" man="1"/>
    <brk id="2537" max="12" man="1"/>
    <brk id="2552" max="12" man="1"/>
    <brk id="2567" max="12" man="1"/>
    <brk id="2582" max="12" man="1"/>
    <brk id="2597" max="12" man="1"/>
    <brk id="2612" max="12" man="1"/>
    <brk id="2627" max="12" man="1"/>
    <brk id="2642" max="12" man="1"/>
    <brk id="2657" max="12" man="1"/>
    <brk id="2672" max="12" man="1"/>
    <brk id="2687" max="12" man="1"/>
    <brk id="2702" max="12" man="1"/>
    <brk id="2717" max="12" man="1"/>
    <brk id="2732" max="12" man="1"/>
    <brk id="2747" max="12" man="1"/>
    <brk id="2762" max="12" man="1"/>
    <brk id="2777" max="12" man="1"/>
    <brk id="2792" max="12" man="1"/>
    <brk id="2807" max="12" man="1"/>
    <brk id="2822" max="12" man="1"/>
    <brk id="2837" max="12" man="1"/>
    <brk id="2852" max="12" man="1"/>
    <brk id="2867" max="12" man="1"/>
    <brk id="2882" max="12" man="1"/>
    <brk id="2897" max="12" man="1"/>
    <brk id="2912" max="12" man="1"/>
    <brk id="2927" max="12" man="1"/>
    <brk id="2942" max="12" man="1"/>
    <brk id="2957" max="12" man="1"/>
    <brk id="2972" max="12" man="1"/>
    <brk id="2987" max="12" man="1"/>
    <brk id="3002" max="12" man="1"/>
    <brk id="3017" max="12" man="1"/>
    <brk id="3032" max="12" man="1"/>
    <brk id="3047" max="12" man="1"/>
    <brk id="3062" max="12" man="1"/>
    <brk id="3077" max="12" man="1"/>
    <brk id="3092" max="12" man="1"/>
    <brk id="3107" max="12" man="1"/>
    <brk id="3122" max="12" man="1"/>
    <brk id="3137" max="12" man="1"/>
    <brk id="3152" max="12" man="1"/>
    <brk id="3167" max="12" man="1"/>
    <brk id="3182" max="12" man="1"/>
    <brk id="3197" max="12" man="1"/>
    <brk id="3212" max="12" man="1"/>
    <brk id="3227" max="12" man="1"/>
    <brk id="3242" max="12" man="1"/>
    <brk id="3257" max="12" man="1"/>
    <brk id="3272" max="12" man="1"/>
    <brk id="3287" max="12" man="1"/>
    <brk id="3302" max="12" man="1"/>
    <brk id="3317" max="12" man="1"/>
    <brk id="3332" max="12" man="1"/>
    <brk id="3347" max="12" man="1"/>
    <brk id="3362" max="12" man="1"/>
    <brk id="3377" max="12" man="1"/>
    <brk id="3392" max="12" man="1"/>
    <brk id="3407" max="12" man="1"/>
    <brk id="3422" max="12" man="1"/>
    <brk id="3437" max="12" man="1"/>
    <brk id="3452" max="12" man="1"/>
    <brk id="3467" max="12" man="1"/>
    <brk id="3482" max="12" man="1"/>
    <brk id="3497" max="12" man="1"/>
    <brk id="3512" max="12" man="1"/>
    <brk id="3542" max="12" man="1"/>
    <brk id="3557" max="12" man="1"/>
    <brk id="3572" max="12" man="1"/>
    <brk id="3587" max="12" man="1"/>
    <brk id="3602" max="12" man="1"/>
    <brk id="3617" max="12" man="1"/>
    <brk id="3632" max="12" man="1"/>
    <brk id="3647" max="12" man="1"/>
    <brk id="3662" max="12" man="1"/>
    <brk id="3677" max="12" man="1"/>
    <brk id="3707" max="12" man="1"/>
    <brk id="3737" max="12" man="1"/>
    <brk id="3752" max="12" man="1"/>
    <brk id="3707" max="12" man="1"/>
    <brk id="3722" max="12" man="1"/>
    <brk id="3692" max="12" man="1"/>
    <brk id="3767" max="12" man="1"/>
    <brk id="3782" max="12" man="1"/>
    <brk id="3797" max="12" man="1"/>
    <brk id="3812" max="12" man="1"/>
    <brk id="3827" max="12" man="1"/>
    <brk id="3842" max="12" man="1"/>
    <brk id="3857" max="12" man="1"/>
    <brk id="3872" max="12" man="1"/>
    <brk id="3887" max="12" man="1"/>
    <brk id="3902" max="12" man="1"/>
    <brk id="3917" max="12" man="1"/>
    <brk id="3932" max="12" man="1"/>
    <brk id="3947" max="12" man="1"/>
    <brk id="3962" max="12" man="1"/>
    <brk id="3977" max="12" man="1"/>
    <brk id="3992" max="12" man="1"/>
    <brk id="4007" max="12" man="1"/>
    <brk id="4022" max="12" man="1"/>
    <brk id="4037" max="12" man="1"/>
    <brk id="4052" max="12" man="1"/>
    <brk id="4067" max="12" man="1"/>
    <brk id="4082" max="12" man="1"/>
    <brk id="4097" max="12" man="1"/>
    <brk id="4112" max="12" man="1"/>
    <brk id="4127" max="12" man="1"/>
    <brk id="4142" max="12" man="1"/>
    <brk id="4157" max="12" man="1"/>
    <brk id="4172" max="12" man="1"/>
    <brk id="4187" max="12" man="1"/>
    <brk id="4202" max="12" man="1"/>
    <brk id="4217" max="12" man="1"/>
    <brk id="4232" max="12" man="1"/>
    <brk id="4247" max="12" man="1"/>
    <brk id="4262" max="12" man="1"/>
    <brk id="4277" max="12" man="1"/>
    <brk id="4292" max="12" man="1"/>
    <brk id="4307" max="12" man="1"/>
    <brk id="4322" max="12" man="1"/>
    <brk id="4337" max="12" man="1"/>
    <brk id="4352" max="12" man="1"/>
    <brk id="4367" max="12" man="1"/>
    <brk id="4382" max="12" man="1"/>
    <brk id="4397" max="12" man="1"/>
    <brk id="4412" max="12" man="1"/>
    <brk id="4427" max="12" man="1"/>
    <brk id="4442" max="12" man="1"/>
    <brk id="4457" max="12" man="1"/>
    <brk id="4472" max="12" man="1"/>
    <brk id="4487" max="12" man="1"/>
    <brk id="4502" max="12" man="1"/>
    <brk id="4517" max="12" man="1"/>
    <brk id="4532" max="12" man="1"/>
    <brk id="4547" max="12" man="1"/>
    <brk id="4562" max="12" man="1"/>
    <brk id="4577" max="12" man="1"/>
    <brk id="4592" max="12" man="1"/>
    <brk id="4607" max="12" man="1"/>
    <brk id="4622" max="12" man="1"/>
    <brk id="4637" max="12" man="1"/>
    <brk id="4652" max="12" man="1"/>
    <brk id="4667" max="12" man="1"/>
    <brk id="4682" max="12" man="1"/>
    <brk id="4697" max="12" man="1"/>
    <brk id="4712" max="12" man="1"/>
    <brk id="4727" max="12" man="1"/>
    <brk id="4742" max="12" man="1"/>
    <brk id="4757" max="12" man="1"/>
    <brk id="4772" max="12" man="1"/>
    <brk id="4787" max="12" man="1"/>
    <brk id="4802" max="12" man="1"/>
    <brk id="4817" max="12" man="1"/>
    <brk id="4832" max="12" man="1"/>
    <brk id="4847" max="12" man="1"/>
    <brk id="4862" max="12" man="1"/>
    <brk id="4877" max="12" man="1"/>
    <brk id="4892" max="12" man="1"/>
    <brk id="4907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748AC-71F6-47FA-94FB-F97105B4F2CB}">
  <sheetPr codeName="Sheet7"/>
  <dimension ref="A1:GL184"/>
  <sheetViews>
    <sheetView topLeftCell="A141" workbookViewId="0">
      <selection activeCell="A161" sqref="A161"/>
    </sheetView>
  </sheetViews>
  <sheetFormatPr defaultRowHeight="15.5" x14ac:dyDescent="0.35"/>
  <cols>
    <col min="1" max="1" width="7.08203125" bestFit="1" customWidth="1"/>
    <col min="2" max="2" width="49.58203125" customWidth="1"/>
    <col min="3" max="3" width="6.83203125" bestFit="1" customWidth="1"/>
    <col min="4" max="4" width="7.58203125" bestFit="1" customWidth="1"/>
    <col min="5" max="5" width="5.75" bestFit="1" customWidth="1"/>
    <col min="6" max="6" width="10.58203125" customWidth="1"/>
    <col min="7" max="7" width="14.58203125" customWidth="1"/>
    <col min="8" max="8" width="14.25" customWidth="1"/>
    <col min="9" max="9" width="11.08203125" customWidth="1"/>
    <col min="10" max="10" width="5.75" customWidth="1"/>
    <col min="11" max="11" width="6.83203125" customWidth="1"/>
    <col min="12" max="12" width="8.08203125" customWidth="1"/>
  </cols>
  <sheetData>
    <row r="1" spans="1:194" x14ac:dyDescent="0.35">
      <c r="F1" s="1"/>
      <c r="N1" s="2">
        <v>3</v>
      </c>
      <c r="O1" s="2">
        <v>4</v>
      </c>
      <c r="P1" s="2">
        <v>5</v>
      </c>
      <c r="Q1" s="2">
        <v>6</v>
      </c>
      <c r="R1" s="2">
        <v>7</v>
      </c>
      <c r="S1" s="2">
        <v>8</v>
      </c>
      <c r="T1" s="2">
        <v>9</v>
      </c>
      <c r="U1" s="2">
        <f>1+T1</f>
        <v>10</v>
      </c>
      <c r="V1" s="2">
        <f>1+U1</f>
        <v>11</v>
      </c>
      <c r="W1" s="2">
        <f>1+V1</f>
        <v>12</v>
      </c>
      <c r="X1" s="2">
        <f t="shared" ref="X1:CI1" si="0">1+W1</f>
        <v>13</v>
      </c>
      <c r="Y1" s="2">
        <f t="shared" si="0"/>
        <v>14</v>
      </c>
      <c r="Z1" s="2">
        <f t="shared" si="0"/>
        <v>15</v>
      </c>
      <c r="AA1" s="2">
        <f t="shared" si="0"/>
        <v>16</v>
      </c>
      <c r="AB1" s="2">
        <f t="shared" si="0"/>
        <v>17</v>
      </c>
      <c r="AC1" s="2">
        <f t="shared" si="0"/>
        <v>18</v>
      </c>
      <c r="AD1" s="2">
        <f t="shared" si="0"/>
        <v>19</v>
      </c>
      <c r="AE1" s="2">
        <f t="shared" si="0"/>
        <v>20</v>
      </c>
      <c r="AF1" s="2">
        <f t="shared" si="0"/>
        <v>21</v>
      </c>
      <c r="AG1" s="2">
        <f t="shared" si="0"/>
        <v>22</v>
      </c>
      <c r="AH1" s="2">
        <f t="shared" si="0"/>
        <v>23</v>
      </c>
      <c r="AI1" s="2">
        <f t="shared" si="0"/>
        <v>24</v>
      </c>
      <c r="AJ1" s="2">
        <f t="shared" si="0"/>
        <v>25</v>
      </c>
      <c r="AK1" s="2">
        <f t="shared" si="0"/>
        <v>26</v>
      </c>
      <c r="AL1" s="2">
        <f t="shared" si="0"/>
        <v>27</v>
      </c>
      <c r="AM1" s="2">
        <f t="shared" si="0"/>
        <v>28</v>
      </c>
      <c r="AN1" s="2">
        <f t="shared" si="0"/>
        <v>29</v>
      </c>
      <c r="AO1" s="2">
        <f t="shared" si="0"/>
        <v>30</v>
      </c>
      <c r="AP1" s="2">
        <f t="shared" si="0"/>
        <v>31</v>
      </c>
      <c r="AQ1" s="2">
        <f t="shared" si="0"/>
        <v>32</v>
      </c>
      <c r="AR1" s="2">
        <f t="shared" si="0"/>
        <v>33</v>
      </c>
      <c r="AS1" s="2">
        <f t="shared" si="0"/>
        <v>34</v>
      </c>
      <c r="AT1" s="2">
        <f t="shared" si="0"/>
        <v>35</v>
      </c>
      <c r="AU1" s="2">
        <f t="shared" si="0"/>
        <v>36</v>
      </c>
      <c r="AV1" s="2">
        <f t="shared" si="0"/>
        <v>37</v>
      </c>
      <c r="AW1" s="2">
        <f t="shared" si="0"/>
        <v>38</v>
      </c>
      <c r="AX1" s="2">
        <f t="shared" si="0"/>
        <v>39</v>
      </c>
      <c r="AY1" s="2">
        <f t="shared" si="0"/>
        <v>40</v>
      </c>
      <c r="AZ1" s="2">
        <f t="shared" si="0"/>
        <v>41</v>
      </c>
      <c r="BA1" s="2">
        <f t="shared" si="0"/>
        <v>42</v>
      </c>
      <c r="BB1" s="2">
        <f t="shared" si="0"/>
        <v>43</v>
      </c>
      <c r="BC1" s="2">
        <f t="shared" si="0"/>
        <v>44</v>
      </c>
      <c r="BD1" s="2">
        <f t="shared" si="0"/>
        <v>45</v>
      </c>
      <c r="BE1" s="2">
        <f t="shared" si="0"/>
        <v>46</v>
      </c>
      <c r="BF1" s="2">
        <f t="shared" si="0"/>
        <v>47</v>
      </c>
      <c r="BG1" s="2">
        <f t="shared" si="0"/>
        <v>48</v>
      </c>
      <c r="BH1" s="2">
        <f t="shared" si="0"/>
        <v>49</v>
      </c>
      <c r="BI1" s="2">
        <f t="shared" si="0"/>
        <v>50</v>
      </c>
      <c r="BJ1" s="2">
        <f t="shared" si="0"/>
        <v>51</v>
      </c>
      <c r="BK1" s="2">
        <f t="shared" si="0"/>
        <v>52</v>
      </c>
      <c r="BL1" s="2">
        <f t="shared" si="0"/>
        <v>53</v>
      </c>
      <c r="BM1" s="2">
        <f t="shared" si="0"/>
        <v>54</v>
      </c>
      <c r="BN1" s="2">
        <f t="shared" si="0"/>
        <v>55</v>
      </c>
      <c r="BO1" s="2">
        <f t="shared" si="0"/>
        <v>56</v>
      </c>
      <c r="BP1" s="2">
        <f t="shared" si="0"/>
        <v>57</v>
      </c>
      <c r="BQ1" s="2">
        <f t="shared" si="0"/>
        <v>58</v>
      </c>
      <c r="BR1" s="2">
        <f t="shared" si="0"/>
        <v>59</v>
      </c>
      <c r="BS1" s="2">
        <f t="shared" si="0"/>
        <v>60</v>
      </c>
      <c r="BT1" s="2">
        <f t="shared" si="0"/>
        <v>61</v>
      </c>
      <c r="BU1" s="2">
        <f t="shared" si="0"/>
        <v>62</v>
      </c>
      <c r="BV1" s="2">
        <f t="shared" si="0"/>
        <v>63</v>
      </c>
      <c r="BW1" s="2">
        <f t="shared" si="0"/>
        <v>64</v>
      </c>
      <c r="BX1" s="2">
        <f t="shared" si="0"/>
        <v>65</v>
      </c>
      <c r="BY1" s="2">
        <f t="shared" si="0"/>
        <v>66</v>
      </c>
      <c r="BZ1" s="2">
        <f t="shared" si="0"/>
        <v>67</v>
      </c>
      <c r="CA1" s="2">
        <f t="shared" si="0"/>
        <v>68</v>
      </c>
      <c r="CB1" s="2">
        <f t="shared" si="0"/>
        <v>69</v>
      </c>
      <c r="CC1" s="2">
        <f t="shared" si="0"/>
        <v>70</v>
      </c>
      <c r="CD1" s="2">
        <f t="shared" si="0"/>
        <v>71</v>
      </c>
      <c r="CE1" s="2">
        <f t="shared" si="0"/>
        <v>72</v>
      </c>
      <c r="CF1" s="2">
        <f t="shared" si="0"/>
        <v>73</v>
      </c>
      <c r="CG1" s="2">
        <f t="shared" si="0"/>
        <v>74</v>
      </c>
      <c r="CH1" s="2">
        <f t="shared" si="0"/>
        <v>75</v>
      </c>
      <c r="CI1" s="2">
        <f t="shared" si="0"/>
        <v>76</v>
      </c>
      <c r="CJ1" s="2">
        <f t="shared" ref="CJ1:EU1" si="1">1+CI1</f>
        <v>77</v>
      </c>
      <c r="CK1" s="2">
        <f t="shared" si="1"/>
        <v>78</v>
      </c>
      <c r="CL1" s="2">
        <f t="shared" si="1"/>
        <v>79</v>
      </c>
      <c r="CM1" s="2">
        <f t="shared" si="1"/>
        <v>80</v>
      </c>
      <c r="CN1" s="2">
        <f t="shared" si="1"/>
        <v>81</v>
      </c>
      <c r="CO1" s="2">
        <f t="shared" si="1"/>
        <v>82</v>
      </c>
      <c r="CP1" s="2">
        <f t="shared" si="1"/>
        <v>83</v>
      </c>
      <c r="CQ1" s="2">
        <f t="shared" si="1"/>
        <v>84</v>
      </c>
      <c r="CR1" s="2">
        <f t="shared" si="1"/>
        <v>85</v>
      </c>
      <c r="CS1" s="2">
        <f t="shared" si="1"/>
        <v>86</v>
      </c>
      <c r="CT1" s="2">
        <f t="shared" si="1"/>
        <v>87</v>
      </c>
      <c r="CU1" s="2">
        <f t="shared" si="1"/>
        <v>88</v>
      </c>
      <c r="CV1" s="2">
        <f t="shared" si="1"/>
        <v>89</v>
      </c>
      <c r="CW1" s="2">
        <f t="shared" si="1"/>
        <v>90</v>
      </c>
      <c r="CX1" s="2">
        <f t="shared" si="1"/>
        <v>91</v>
      </c>
      <c r="CY1" s="2">
        <f t="shared" si="1"/>
        <v>92</v>
      </c>
      <c r="CZ1" s="2">
        <f t="shared" si="1"/>
        <v>93</v>
      </c>
      <c r="DA1" s="2">
        <f t="shared" si="1"/>
        <v>94</v>
      </c>
      <c r="DB1" s="2">
        <f t="shared" si="1"/>
        <v>95</v>
      </c>
      <c r="DC1" s="2">
        <f t="shared" si="1"/>
        <v>96</v>
      </c>
      <c r="DD1" s="2">
        <f t="shared" si="1"/>
        <v>97</v>
      </c>
      <c r="DE1" s="2">
        <f t="shared" si="1"/>
        <v>98</v>
      </c>
      <c r="DF1" s="2">
        <f t="shared" si="1"/>
        <v>99</v>
      </c>
      <c r="DG1" s="2">
        <f t="shared" si="1"/>
        <v>100</v>
      </c>
      <c r="DH1" s="2">
        <f t="shared" si="1"/>
        <v>101</v>
      </c>
      <c r="DI1" s="2">
        <f t="shared" si="1"/>
        <v>102</v>
      </c>
      <c r="DJ1" s="2">
        <f t="shared" si="1"/>
        <v>103</v>
      </c>
      <c r="DK1" s="2">
        <f t="shared" si="1"/>
        <v>104</v>
      </c>
      <c r="DL1" s="2">
        <f t="shared" si="1"/>
        <v>105</v>
      </c>
      <c r="DM1" s="2">
        <f t="shared" si="1"/>
        <v>106</v>
      </c>
      <c r="DN1" s="2">
        <f t="shared" si="1"/>
        <v>107</v>
      </c>
      <c r="DO1" s="2">
        <f t="shared" si="1"/>
        <v>108</v>
      </c>
      <c r="DP1" s="2">
        <f t="shared" si="1"/>
        <v>109</v>
      </c>
      <c r="DQ1" s="2">
        <f t="shared" si="1"/>
        <v>110</v>
      </c>
      <c r="DR1" s="2">
        <f t="shared" si="1"/>
        <v>111</v>
      </c>
      <c r="DS1" s="2">
        <f t="shared" si="1"/>
        <v>112</v>
      </c>
      <c r="DT1" s="2">
        <f t="shared" si="1"/>
        <v>113</v>
      </c>
      <c r="DU1" s="2">
        <f t="shared" si="1"/>
        <v>114</v>
      </c>
      <c r="DV1" s="2">
        <f t="shared" si="1"/>
        <v>115</v>
      </c>
      <c r="DW1" s="2">
        <f t="shared" si="1"/>
        <v>116</v>
      </c>
      <c r="DX1" s="2">
        <f t="shared" si="1"/>
        <v>117</v>
      </c>
      <c r="DY1" s="2">
        <f t="shared" si="1"/>
        <v>118</v>
      </c>
      <c r="DZ1" s="2">
        <f t="shared" si="1"/>
        <v>119</v>
      </c>
      <c r="EA1" s="2">
        <f t="shared" si="1"/>
        <v>120</v>
      </c>
      <c r="EB1" s="2">
        <f t="shared" si="1"/>
        <v>121</v>
      </c>
      <c r="EC1" s="2">
        <f t="shared" si="1"/>
        <v>122</v>
      </c>
      <c r="ED1" s="2">
        <f t="shared" si="1"/>
        <v>123</v>
      </c>
      <c r="EE1" s="2">
        <f t="shared" si="1"/>
        <v>124</v>
      </c>
      <c r="EF1" s="2">
        <f t="shared" si="1"/>
        <v>125</v>
      </c>
      <c r="EG1" s="2">
        <f t="shared" si="1"/>
        <v>126</v>
      </c>
      <c r="EH1" s="2">
        <f t="shared" si="1"/>
        <v>127</v>
      </c>
      <c r="EI1" s="2">
        <f t="shared" si="1"/>
        <v>128</v>
      </c>
      <c r="EJ1" s="2">
        <f t="shared" si="1"/>
        <v>129</v>
      </c>
      <c r="EK1" s="2">
        <f t="shared" si="1"/>
        <v>130</v>
      </c>
      <c r="EL1" s="2">
        <f t="shared" si="1"/>
        <v>131</v>
      </c>
      <c r="EM1" s="2">
        <f t="shared" si="1"/>
        <v>132</v>
      </c>
      <c r="EN1" s="2">
        <f t="shared" si="1"/>
        <v>133</v>
      </c>
      <c r="EO1" s="2">
        <f t="shared" si="1"/>
        <v>134</v>
      </c>
      <c r="EP1" s="2">
        <f t="shared" si="1"/>
        <v>135</v>
      </c>
      <c r="EQ1" s="2">
        <f t="shared" si="1"/>
        <v>136</v>
      </c>
      <c r="ER1" s="2">
        <f t="shared" si="1"/>
        <v>137</v>
      </c>
      <c r="ES1" s="2">
        <f t="shared" si="1"/>
        <v>138</v>
      </c>
      <c r="ET1" s="2">
        <f t="shared" si="1"/>
        <v>139</v>
      </c>
      <c r="EU1" s="2">
        <f t="shared" si="1"/>
        <v>140</v>
      </c>
      <c r="EV1" s="2">
        <f t="shared" ref="EV1:GL1" si="2">1+EU1</f>
        <v>141</v>
      </c>
      <c r="EW1" s="2">
        <f t="shared" si="2"/>
        <v>142</v>
      </c>
      <c r="EX1" s="2">
        <f t="shared" si="2"/>
        <v>143</v>
      </c>
      <c r="EY1" s="2">
        <f t="shared" si="2"/>
        <v>144</v>
      </c>
      <c r="EZ1" s="2">
        <f t="shared" si="2"/>
        <v>145</v>
      </c>
      <c r="FA1" s="2">
        <f t="shared" si="2"/>
        <v>146</v>
      </c>
      <c r="FB1" s="2">
        <f t="shared" si="2"/>
        <v>147</v>
      </c>
      <c r="FC1" s="2">
        <f t="shared" si="2"/>
        <v>148</v>
      </c>
      <c r="FD1" s="2">
        <f t="shared" si="2"/>
        <v>149</v>
      </c>
      <c r="FE1" s="2">
        <f t="shared" si="2"/>
        <v>150</v>
      </c>
      <c r="FF1" s="2">
        <f t="shared" si="2"/>
        <v>151</v>
      </c>
      <c r="FG1" s="2">
        <f t="shared" si="2"/>
        <v>152</v>
      </c>
      <c r="FH1" s="2">
        <f t="shared" si="2"/>
        <v>153</v>
      </c>
      <c r="FI1" s="2">
        <f t="shared" si="2"/>
        <v>154</v>
      </c>
      <c r="FJ1" s="2">
        <f t="shared" si="2"/>
        <v>155</v>
      </c>
      <c r="FK1" s="2">
        <f t="shared" si="2"/>
        <v>156</v>
      </c>
      <c r="FL1" s="2">
        <f t="shared" si="2"/>
        <v>157</v>
      </c>
      <c r="FM1" s="2">
        <f t="shared" si="2"/>
        <v>158</v>
      </c>
      <c r="FN1" s="2">
        <f t="shared" si="2"/>
        <v>159</v>
      </c>
      <c r="FO1" s="2">
        <f t="shared" si="2"/>
        <v>160</v>
      </c>
      <c r="FP1" s="2">
        <f t="shared" si="2"/>
        <v>161</v>
      </c>
      <c r="FQ1" s="2">
        <f t="shared" si="2"/>
        <v>162</v>
      </c>
      <c r="FR1" s="2">
        <f t="shared" si="2"/>
        <v>163</v>
      </c>
      <c r="FS1" s="2">
        <f t="shared" si="2"/>
        <v>164</v>
      </c>
      <c r="FT1" s="2">
        <f t="shared" si="2"/>
        <v>165</v>
      </c>
      <c r="FU1" s="2">
        <f t="shared" si="2"/>
        <v>166</v>
      </c>
      <c r="FV1" s="2">
        <f t="shared" si="2"/>
        <v>167</v>
      </c>
      <c r="FW1" s="2">
        <f t="shared" si="2"/>
        <v>168</v>
      </c>
      <c r="FX1" s="2">
        <f t="shared" si="2"/>
        <v>169</v>
      </c>
      <c r="FY1" s="2">
        <f t="shared" si="2"/>
        <v>170</v>
      </c>
      <c r="FZ1" s="2">
        <f t="shared" si="2"/>
        <v>171</v>
      </c>
      <c r="GA1" s="2">
        <f t="shared" si="2"/>
        <v>172</v>
      </c>
      <c r="GB1" s="2">
        <f t="shared" si="2"/>
        <v>173</v>
      </c>
      <c r="GC1" s="2">
        <f t="shared" si="2"/>
        <v>174</v>
      </c>
      <c r="GD1" s="2">
        <f t="shared" si="2"/>
        <v>175</v>
      </c>
      <c r="GE1" s="2">
        <f t="shared" si="2"/>
        <v>176</v>
      </c>
      <c r="GF1" s="2">
        <f t="shared" si="2"/>
        <v>177</v>
      </c>
      <c r="GG1" s="2">
        <f t="shared" si="2"/>
        <v>178</v>
      </c>
      <c r="GH1" s="2">
        <f t="shared" si="2"/>
        <v>179</v>
      </c>
      <c r="GI1" s="2">
        <f t="shared" si="2"/>
        <v>180</v>
      </c>
      <c r="GJ1" s="2">
        <f t="shared" si="2"/>
        <v>181</v>
      </c>
      <c r="GK1" s="2">
        <f t="shared" si="2"/>
        <v>182</v>
      </c>
      <c r="GL1" s="2">
        <f t="shared" si="2"/>
        <v>183</v>
      </c>
    </row>
    <row r="2" spans="1:19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N2" s="3">
        <f>ROUND(INT('[1]Roast History'!O2523),0)</f>
        <v>0</v>
      </c>
      <c r="O2" s="3">
        <f>ROUND(INT('[1]Roast History'!P2523),0)</f>
        <v>0</v>
      </c>
      <c r="P2" s="3">
        <f>ROUND(INT('[1]Roast History'!Q2523),0)</f>
        <v>0</v>
      </c>
      <c r="Q2" s="3">
        <f>ROUND(INT('[1]Roast History'!R2523),0)</f>
        <v>0</v>
      </c>
      <c r="R2" s="3">
        <f>ROUND(INT('[1]Roast History'!S2523),0)</f>
        <v>0</v>
      </c>
      <c r="S2" s="3">
        <f>ROUND(INT('[1]Roast History'!T2523),0)</f>
        <v>0</v>
      </c>
      <c r="T2" s="3">
        <f>ROUND(INT('[1]Roast History'!U2523),0)</f>
        <v>0</v>
      </c>
      <c r="U2" s="3">
        <f>ROUND(INT('[1]Roast History'!V2523),0)</f>
        <v>0</v>
      </c>
      <c r="V2" s="3">
        <f>ROUND(INT('[1]Roast History'!W2523),0)</f>
        <v>0</v>
      </c>
      <c r="W2" s="3">
        <f>ROUND(INT('[1]Roast History'!X2523),0)</f>
        <v>0</v>
      </c>
      <c r="X2" s="3">
        <f>ROUND(INT('[1]Roast History'!Y2523),0)</f>
        <v>0</v>
      </c>
      <c r="Y2" s="3">
        <f>ROUND(INT('[1]Roast History'!Z2523),0)</f>
        <v>0</v>
      </c>
      <c r="Z2" s="3">
        <f>ROUND(INT('[1]Roast History'!AA2523),0)</f>
        <v>0</v>
      </c>
      <c r="AA2" s="3">
        <f>ROUND(INT('[1]Roast History'!AB2523),0)</f>
        <v>0</v>
      </c>
      <c r="AB2" s="3">
        <f>ROUND(INT('[1]Roast History'!AC2523),0)</f>
        <v>0</v>
      </c>
      <c r="AC2" s="3">
        <f>ROUND(INT('[1]Roast History'!AD2523),0)</f>
        <v>0</v>
      </c>
      <c r="AD2" s="3">
        <f>ROUND(INT('[1]Roast History'!AE2523),0)</f>
        <v>0</v>
      </c>
      <c r="AE2" s="3">
        <f>ROUND(INT('[1]Roast History'!AF2523),0)</f>
        <v>0</v>
      </c>
      <c r="AF2" s="3">
        <f>ROUND(INT('[1]Roast History'!AG2523),0)</f>
        <v>0</v>
      </c>
      <c r="AG2" s="3">
        <f>ROUND(INT('[1]Roast History'!AH2523),0)</f>
        <v>0</v>
      </c>
      <c r="AH2" s="3">
        <f>ROUND(INT('[1]Roast History'!AI2523),0)</f>
        <v>0</v>
      </c>
      <c r="AI2" s="3">
        <f>ROUND(INT('[1]Roast History'!AJ2523),0)</f>
        <v>0</v>
      </c>
      <c r="AJ2" s="3">
        <f>ROUND(INT('[1]Roast History'!AK2523),0)</f>
        <v>0</v>
      </c>
      <c r="AK2" s="3">
        <f>ROUND(INT('[1]Roast History'!AL2523),0)</f>
        <v>0</v>
      </c>
      <c r="AL2" s="3">
        <f>ROUND(INT('[1]Roast History'!AM2523),0)</f>
        <v>0</v>
      </c>
      <c r="AM2" s="3">
        <f>ROUND(INT('[1]Roast History'!AN2523),0)</f>
        <v>0</v>
      </c>
      <c r="AN2" s="3">
        <f>ROUND(INT('[1]Roast History'!AO2523),0)</f>
        <v>0</v>
      </c>
      <c r="AO2" s="3">
        <f>ROUND(INT('[1]Roast History'!AP2523),0)</f>
        <v>0</v>
      </c>
      <c r="AP2" s="3">
        <f>ROUND(INT('[1]Roast History'!AQ2523),0)</f>
        <v>0</v>
      </c>
      <c r="AQ2" s="3">
        <f>ROUND(INT('[1]Roast History'!AR2523),0)</f>
        <v>0</v>
      </c>
      <c r="AR2" s="3">
        <f>ROUND(INT('[1]Roast History'!AS2523),0)</f>
        <v>0</v>
      </c>
      <c r="AS2" s="3">
        <f>ROUND(INT('[1]Roast History'!AT2523),0)</f>
        <v>0</v>
      </c>
      <c r="AT2" s="3">
        <f>ROUND(INT('[1]Roast History'!AU2523),0)</f>
        <v>0</v>
      </c>
      <c r="AU2" s="3">
        <f>ROUND(INT('[1]Roast History'!AV2523),0)</f>
        <v>0</v>
      </c>
      <c r="AV2" s="3">
        <f>ROUND(INT('[1]Roast History'!AW2523),0)</f>
        <v>0</v>
      </c>
      <c r="AW2" s="3">
        <f>ROUND(INT('[1]Roast History'!AX2523),0)</f>
        <v>0</v>
      </c>
      <c r="AX2" s="3">
        <f>ROUND(INT('[1]Roast History'!AY2523),0)</f>
        <v>0</v>
      </c>
      <c r="AY2" s="3">
        <f>ROUND(INT('[1]Roast History'!AZ2523),0)</f>
        <v>0</v>
      </c>
      <c r="AZ2" s="3">
        <f>ROUND(INT('[1]Roast History'!BA2523),0)</f>
        <v>0</v>
      </c>
      <c r="BA2" s="3">
        <f>ROUND(INT('[1]Roast History'!BB2523),0)</f>
        <v>0</v>
      </c>
      <c r="BB2" s="3">
        <f>ROUND(INT('[1]Roast History'!BC2523),0)</f>
        <v>0</v>
      </c>
      <c r="BC2" s="3">
        <f>ROUND(INT('[1]Roast History'!BD2523),0)</f>
        <v>0</v>
      </c>
      <c r="BD2" s="3">
        <f>ROUND(INT('[1]Roast History'!BE2523),0)</f>
        <v>0</v>
      </c>
      <c r="BE2" s="3">
        <f>ROUND(INT('[1]Roast History'!BF2523),0)</f>
        <v>0</v>
      </c>
      <c r="BF2" s="3">
        <f>ROUND(INT('[1]Roast History'!BG2523),0)</f>
        <v>0</v>
      </c>
      <c r="BG2" s="3">
        <f>ROUND(INT('[1]Roast History'!BH2523),0)</f>
        <v>0</v>
      </c>
      <c r="BH2" s="3">
        <f>ROUND(INT('[1]Roast History'!BI2523),0)</f>
        <v>0</v>
      </c>
      <c r="BI2" s="3">
        <f>ROUND(INT('[1]Roast History'!BJ2523),0)</f>
        <v>0</v>
      </c>
      <c r="BJ2" s="3">
        <f>ROUND(INT('[1]Roast History'!BK2523),0)</f>
        <v>0</v>
      </c>
      <c r="BK2" s="3">
        <f>ROUND(INT('[1]Roast History'!BL2523),0)</f>
        <v>0</v>
      </c>
      <c r="BL2" s="3">
        <f>ROUND(INT('[1]Roast History'!BM2523),0)</f>
        <v>0</v>
      </c>
      <c r="BM2" s="3">
        <f>ROUND(INT('[1]Roast History'!BN2523),0)</f>
        <v>0</v>
      </c>
      <c r="BN2" s="3">
        <f>ROUND(INT('[1]Roast History'!BO2523),0)</f>
        <v>0</v>
      </c>
      <c r="BO2" s="3">
        <f>ROUND(INT('[1]Roast History'!BP2523),0)</f>
        <v>0</v>
      </c>
      <c r="BP2" s="3">
        <f>ROUND(INT('[1]Roast History'!BQ2523),0)</f>
        <v>0</v>
      </c>
      <c r="BQ2" s="3">
        <f>ROUND(INT('[1]Roast History'!BR2523),0)</f>
        <v>0</v>
      </c>
      <c r="BR2" s="3">
        <f>ROUND(INT('[1]Roast History'!BS2523),0)</f>
        <v>0</v>
      </c>
      <c r="BS2" s="3">
        <f>ROUND(INT('[1]Roast History'!BT2523),0)</f>
        <v>0</v>
      </c>
      <c r="BT2" s="3">
        <f>ROUND(INT('[1]Roast History'!BU2523),0)</f>
        <v>0</v>
      </c>
      <c r="BU2" s="3">
        <f>ROUND(INT('[1]Roast History'!BV2523),0)</f>
        <v>0</v>
      </c>
      <c r="BV2" s="3">
        <f>ROUND(INT('[1]Roast History'!BW2523),0)</f>
        <v>0</v>
      </c>
      <c r="BW2" s="3">
        <f>ROUND(INT('[1]Roast History'!BX2523),0)</f>
        <v>0</v>
      </c>
      <c r="BX2" s="3">
        <f>ROUND(INT('[1]Roast History'!BY2523),0)</f>
        <v>0</v>
      </c>
      <c r="BY2" s="3">
        <f>ROUND(INT('[1]Roast History'!BZ2523),0)</f>
        <v>0</v>
      </c>
      <c r="BZ2" s="3">
        <f>ROUND(INT('[1]Roast History'!CA2523),0)</f>
        <v>0</v>
      </c>
      <c r="CA2" s="3">
        <f>ROUND(INT('[1]Roast History'!CB2523),0)</f>
        <v>0</v>
      </c>
      <c r="CB2" s="3">
        <f>ROUND(INT('[1]Roast History'!CC2523),0)</f>
        <v>0</v>
      </c>
      <c r="CC2" s="3">
        <f>ROUND(INT('[1]Roast History'!CD2523),0)</f>
        <v>0</v>
      </c>
      <c r="CD2" s="3">
        <f>ROUND(INT('[1]Roast History'!CE2523),0)</f>
        <v>0</v>
      </c>
      <c r="CE2" s="3">
        <f>ROUND(INT('[1]Roast History'!CF2523),0)</f>
        <v>0</v>
      </c>
      <c r="CF2" s="3">
        <f>ROUND(INT('[1]Roast History'!CG2523),0)</f>
        <v>0</v>
      </c>
      <c r="CG2" s="3">
        <f>ROUND(INT('[1]Roast History'!CH2523),0)</f>
        <v>0</v>
      </c>
      <c r="CH2" s="3">
        <f>ROUND(INT('[1]Roast History'!CI2523),0)</f>
        <v>0</v>
      </c>
      <c r="CI2" s="3">
        <f>ROUND(INT('[1]Roast History'!CJ2523),0)</f>
        <v>0</v>
      </c>
      <c r="CJ2" s="3">
        <f>ROUND(INT('[1]Roast History'!CK2523),0)</f>
        <v>0</v>
      </c>
      <c r="CK2" s="3">
        <f>ROUND(INT('[1]Roast History'!CL2523),0)</f>
        <v>0</v>
      </c>
      <c r="CL2" s="3">
        <f>ROUND(INT('[1]Roast History'!CM2523),0)</f>
        <v>0</v>
      </c>
      <c r="CM2" s="3">
        <f>ROUND(INT('[1]Roast History'!CN2523),0)</f>
        <v>0</v>
      </c>
      <c r="CN2" s="3">
        <f>ROUND(INT('[1]Roast History'!CO2523),0)</f>
        <v>0</v>
      </c>
      <c r="CO2" s="3">
        <f>ROUND(INT('[1]Roast History'!CP2523),0)</f>
        <v>0</v>
      </c>
      <c r="CP2" s="3">
        <f>ROUND(INT('[1]Roast History'!CQ2523),0)</f>
        <v>0</v>
      </c>
      <c r="CQ2" s="3">
        <f>ROUND(INT('[1]Roast History'!CR2523),0)</f>
        <v>0</v>
      </c>
      <c r="CR2" s="3">
        <f>ROUND(INT('[1]Roast History'!CS2523),0)</f>
        <v>0</v>
      </c>
      <c r="CS2" s="3">
        <f>ROUND(INT('[1]Roast History'!CT2523),0)</f>
        <v>0</v>
      </c>
      <c r="CT2" s="3">
        <f>ROUND(INT('[1]Roast History'!CU2523),0)</f>
        <v>0</v>
      </c>
      <c r="CU2" s="3">
        <f>ROUND(INT('[1]Roast History'!CV2523),0)</f>
        <v>0</v>
      </c>
      <c r="CV2" s="3">
        <f>ROUND(INT('[1]Roast History'!CW2523),0)</f>
        <v>0</v>
      </c>
      <c r="CW2" s="3">
        <f>ROUND(INT('[1]Roast History'!CX2523),0)</f>
        <v>0</v>
      </c>
      <c r="CX2" s="3">
        <f>ROUND(INT('[1]Roast History'!CY2523),0)</f>
        <v>0</v>
      </c>
      <c r="CY2" s="3">
        <f>ROUND(INT('[1]Roast History'!CZ2523),0)</f>
        <v>0</v>
      </c>
      <c r="CZ2" s="3">
        <f>ROUND(INT('[1]Roast History'!DA2523),0)</f>
        <v>0</v>
      </c>
      <c r="DA2" s="3">
        <f>ROUND(INT('[1]Roast History'!DB2523),0)</f>
        <v>0</v>
      </c>
      <c r="DB2" s="3">
        <f>ROUND(INT('[1]Roast History'!DC2523),0)</f>
        <v>0</v>
      </c>
      <c r="DC2" s="3">
        <f>ROUND(INT('[1]Roast History'!DD2523),0)</f>
        <v>0</v>
      </c>
      <c r="DD2" s="3">
        <f>ROUND(INT('[1]Roast History'!DE2523),0)</f>
        <v>0</v>
      </c>
      <c r="DE2" s="3">
        <f>ROUND(INT('[1]Roast History'!DF2523),0)</f>
        <v>0</v>
      </c>
      <c r="DF2" s="3">
        <f>ROUND(INT('[1]Roast History'!DG2523),0)</f>
        <v>0</v>
      </c>
      <c r="DG2" s="3">
        <f>ROUND(INT('[1]Roast History'!DH2523),0)</f>
        <v>0</v>
      </c>
      <c r="DH2" s="3">
        <f>ROUND(INT('[1]Roast History'!DI2523),0)</f>
        <v>0</v>
      </c>
      <c r="DI2" s="3">
        <f>ROUND(INT('[1]Roast History'!DJ2523),0)</f>
        <v>0</v>
      </c>
      <c r="DJ2" s="3">
        <f>ROUND(INT('[1]Roast History'!DK2523),0)</f>
        <v>0</v>
      </c>
      <c r="DK2" s="3">
        <f>ROUND(INT('[1]Roast History'!DL2523),0)</f>
        <v>0</v>
      </c>
      <c r="DL2" s="3">
        <f>ROUND(INT('[1]Roast History'!DM2523),0)</f>
        <v>0</v>
      </c>
      <c r="DM2" s="3">
        <f>ROUND(INT('[1]Roast History'!DN2523),0)</f>
        <v>0</v>
      </c>
      <c r="DN2" s="3">
        <f>ROUND(INT('[1]Roast History'!DO2523),0)</f>
        <v>0</v>
      </c>
      <c r="DO2" s="3">
        <f>ROUND(INT('[1]Roast History'!DP2523),0)</f>
        <v>0</v>
      </c>
      <c r="DP2" s="3">
        <f>ROUND(INT('[1]Roast History'!DQ2523),0)</f>
        <v>0</v>
      </c>
      <c r="DQ2" s="3">
        <f>ROUND(INT('[1]Roast History'!DR2523),0)</f>
        <v>0</v>
      </c>
      <c r="DR2" s="3">
        <f>ROUND(INT('[1]Roast History'!DS2523),0)</f>
        <v>0</v>
      </c>
      <c r="DS2" s="3">
        <f>ROUND(INT('[1]Roast History'!DT2523),0)</f>
        <v>0</v>
      </c>
      <c r="DT2" s="3">
        <f>ROUND(INT('[1]Roast History'!DU2523),0)</f>
        <v>0</v>
      </c>
      <c r="DU2" s="3">
        <f>ROUND(INT('[1]Roast History'!DV2523),0)</f>
        <v>0</v>
      </c>
      <c r="DV2" s="3">
        <f>ROUND(INT('[1]Roast History'!DW2523),0)</f>
        <v>0</v>
      </c>
      <c r="DW2" s="3">
        <f>ROUND(INT('[1]Roast History'!DX2523),0)</f>
        <v>0</v>
      </c>
      <c r="DX2" s="3">
        <f>ROUND(INT('[1]Roast History'!DY2523),0)</f>
        <v>0</v>
      </c>
      <c r="DY2" s="3">
        <f>ROUND(INT('[1]Roast History'!DZ2523),0)</f>
        <v>0</v>
      </c>
      <c r="DZ2" s="3">
        <f>ROUND(INT('[1]Roast History'!EA2523),0)</f>
        <v>0</v>
      </c>
      <c r="EA2" s="3">
        <f>ROUND(INT('[1]Roast History'!EB2523),0)</f>
        <v>0</v>
      </c>
      <c r="EB2" s="3">
        <f>ROUND(INT('[1]Roast History'!EC2523),0)</f>
        <v>0</v>
      </c>
      <c r="EC2" s="3">
        <f>ROUND(INT('[1]Roast History'!ED2523),0)</f>
        <v>0</v>
      </c>
      <c r="ED2" s="3">
        <f>ROUND(INT('[1]Roast History'!EE2523),0)</f>
        <v>0</v>
      </c>
      <c r="EE2" s="3">
        <f>ROUND(INT('[1]Roast History'!EF2523),0)</f>
        <v>0</v>
      </c>
      <c r="EF2" s="3">
        <f>ROUND(INT('[1]Roast History'!EG2523),0)</f>
        <v>0</v>
      </c>
      <c r="EG2" s="3">
        <f>ROUND(INT('[1]Roast History'!EH2523),0)</f>
        <v>0</v>
      </c>
      <c r="EH2" s="3">
        <f>ROUND(INT('[1]Roast History'!EI2523),0)</f>
        <v>0</v>
      </c>
      <c r="EI2" s="3">
        <f>ROUND(INT('[1]Roast History'!EJ2523),0)</f>
        <v>0</v>
      </c>
      <c r="EJ2" s="3">
        <f>ROUND(INT('[1]Roast History'!EK2523),0)</f>
        <v>0</v>
      </c>
      <c r="EK2" s="3">
        <f>ROUND(INT('[1]Roast History'!EL2523),0)</f>
        <v>0</v>
      </c>
      <c r="EL2" s="3">
        <f>ROUND(INT('[1]Roast History'!EM2523),0)</f>
        <v>0</v>
      </c>
      <c r="EM2" s="3">
        <f>ROUND(INT('[1]Roast History'!EN2523),0)</f>
        <v>0</v>
      </c>
      <c r="EN2" s="3">
        <f>ROUND(INT('[1]Roast History'!EO2523),0)</f>
        <v>0</v>
      </c>
      <c r="EO2" s="3">
        <f>ROUND(INT('[1]Roast History'!EP2523),0)</f>
        <v>0</v>
      </c>
      <c r="EP2" s="3">
        <f>ROUND(INT('[1]Roast History'!EQ2523),0)</f>
        <v>0</v>
      </c>
      <c r="EQ2" s="3">
        <f>ROUND(INT('[1]Roast History'!ER2523),0)</f>
        <v>0</v>
      </c>
      <c r="ER2" s="3">
        <f>ROUND(INT('[1]Roast History'!ES2523),0)</f>
        <v>0</v>
      </c>
      <c r="ES2" s="3">
        <f>ROUND(INT('[1]Roast History'!ET2523),0)</f>
        <v>0</v>
      </c>
      <c r="ET2" s="3">
        <f>ROUND(INT('[1]Roast History'!EU2523),0)</f>
        <v>0</v>
      </c>
      <c r="EU2" s="3">
        <f>ROUND(INT('[1]Roast History'!EV2523),0)</f>
        <v>0</v>
      </c>
      <c r="EV2" s="3">
        <f>ROUND(INT('[1]Roast History'!EW2523),0)</f>
        <v>308</v>
      </c>
      <c r="EW2" s="3">
        <f>ROUND(INT('[1]Roast History'!EX2523),0)</f>
        <v>0</v>
      </c>
      <c r="EX2" s="3">
        <f>ROUND(INT('[1]Roast History'!EY2523),0)</f>
        <v>0</v>
      </c>
      <c r="EY2" s="3">
        <f>ROUND(INT('[1]Roast History'!EZ2523),0)</f>
        <v>0</v>
      </c>
      <c r="EZ2" s="3">
        <f>ROUND(INT('[1]Roast History'!FA2523),0)</f>
        <v>0</v>
      </c>
      <c r="FA2" s="3">
        <f>ROUND(INT('[1]Roast History'!FB2523),0)</f>
        <v>280</v>
      </c>
      <c r="FB2" s="3">
        <f>ROUND(INT('[1]Roast History'!FC2523),0)</f>
        <v>1860</v>
      </c>
      <c r="FC2" s="3">
        <f>ROUND(INT('[1]Roast History'!FD2523),0)</f>
        <v>45</v>
      </c>
      <c r="FD2" s="3">
        <f>ROUND(INT('[1]Roast History'!FE2523),0)</f>
        <v>0</v>
      </c>
      <c r="FE2" s="3">
        <f>ROUND(INT('[1]Roast History'!FF2523),0)</f>
        <v>0</v>
      </c>
      <c r="FF2" s="3">
        <f>ROUND(INT('[1]Roast History'!FG2523),0)</f>
        <v>105</v>
      </c>
      <c r="FG2" s="3">
        <f>ROUND(INT('[1]Roast History'!FH2523),0)</f>
        <v>65</v>
      </c>
      <c r="FH2" s="3">
        <f>ROUND(INT('[1]Roast History'!FI2523),0)</f>
        <v>120</v>
      </c>
      <c r="FI2" s="3">
        <f>ROUND(INT('[1]Roast History'!FJ2523),0)</f>
        <v>-71</v>
      </c>
      <c r="FJ2" s="3">
        <f>ROUND(INT('[1]Roast History'!FK2523),0)</f>
        <v>0</v>
      </c>
      <c r="FK2" s="3">
        <f>ROUND(INT('[1]Roast History'!FL2523),0)</f>
        <v>-30</v>
      </c>
      <c r="FL2" s="3">
        <f>ROUND(INT('[1]Roast History'!FM2523),0)</f>
        <v>-490</v>
      </c>
      <c r="FM2" s="3">
        <f>ROUND(INT('[1]Roast History'!FN2523),0)</f>
        <v>120</v>
      </c>
      <c r="FN2" s="3">
        <f>ROUND(INT('[1]Roast History'!FO2523),0)</f>
        <v>0</v>
      </c>
      <c r="FO2" s="3">
        <f>ROUND(INT('[1]Roast History'!FP2523),0)</f>
        <v>105</v>
      </c>
      <c r="FP2" s="3">
        <f>ROUND(INT('[1]Roast History'!FQ2523),0)</f>
        <v>-70</v>
      </c>
      <c r="FQ2" s="3">
        <f>ROUND(INT('[1]Roast History'!FR2523),0)</f>
        <v>0</v>
      </c>
      <c r="FR2" s="3">
        <f>ROUND(INT('[1]Roast History'!FS2523),0)</f>
        <v>-185</v>
      </c>
      <c r="FS2" s="3">
        <f>ROUND(INT('[1]Roast History'!FT2523),0)</f>
        <v>1410</v>
      </c>
      <c r="FT2" s="3">
        <f>ROUND(INT('[1]Roast History'!FU2523),0)</f>
        <v>0</v>
      </c>
      <c r="FU2" s="3">
        <f>ROUND(INT('[1]Roast History'!FV2523),0)</f>
        <v>399</v>
      </c>
      <c r="FV2" s="3">
        <f>ROUND(INT('[1]Roast History'!FW2523),0)</f>
        <v>359</v>
      </c>
      <c r="FW2" s="3">
        <f>ROUND(INT('[1]Roast History'!FX2523),0)</f>
        <v>809</v>
      </c>
      <c r="FX2" s="3">
        <f>ROUND(INT('[1]Roast History'!FY2523),0)</f>
        <v>1745</v>
      </c>
      <c r="FY2" s="3">
        <f>ROUND(INT('[1]Roast History'!FZ2523),0)</f>
        <v>190</v>
      </c>
      <c r="FZ2" s="3">
        <f>ROUND(INT('[1]Roast History'!GA2523),0)</f>
        <v>670</v>
      </c>
      <c r="GA2" s="3">
        <f>ROUND(INT('[1]Roast History'!GB2523),0)</f>
        <v>1410</v>
      </c>
      <c r="GB2" s="3">
        <f>ROUND(INT('[1]Roast History'!GC2523),0)</f>
        <v>1560</v>
      </c>
      <c r="GC2" s="3">
        <f>ROUND(INT('[1]Roast History'!GD2523),0)</f>
        <v>1540</v>
      </c>
      <c r="GD2" s="3">
        <f>ROUND(INT('[1]Roast History'!GE2523),0)</f>
        <v>1625</v>
      </c>
      <c r="GE2" s="3">
        <f>ROUND(INT('[1]Roast History'!GF2523),0)</f>
        <v>1685</v>
      </c>
      <c r="GF2" s="3">
        <f>ROUND(INT('[1]Roast History'!GG2523),0)</f>
        <v>1490</v>
      </c>
      <c r="GG2" s="3">
        <f>ROUND(INT('[1]Roast History'!GH2523),0)</f>
        <v>1195</v>
      </c>
      <c r="GH2" s="3">
        <f>ROUND(INT('[1]Roast History'!GI2523),0)</f>
        <v>2724</v>
      </c>
      <c r="GI2" s="3">
        <f>ROUND(INT('[1]Roast History'!GJ2523),0)</f>
        <v>9988</v>
      </c>
      <c r="GJ2" s="3">
        <f>ROUND(INT('[1]Roast History'!GK2523),0)</f>
        <v>9988</v>
      </c>
      <c r="GK2" s="3">
        <f>ROUND(INT('[1]Roast History'!GL2523),0)</f>
        <v>0</v>
      </c>
      <c r="GL2" s="3">
        <f>ROUND(INT('[1]Roast History'!GM2523),0)</f>
        <v>0</v>
      </c>
    </row>
    <row r="3" spans="1:194" s="1" customFormat="1" x14ac:dyDescent="0.35">
      <c r="A3" s="2"/>
      <c r="N3" s="3">
        <f>ROUND(INT('[1]Roast History'!O2),0)</f>
        <v>582</v>
      </c>
      <c r="O3" s="3">
        <f>ROUND(INT('[1]Roast History'!P2),0)</f>
        <v>795</v>
      </c>
      <c r="P3" s="3">
        <f>ROUND(INT('[1]Roast History'!Q2),0)</f>
        <v>1671</v>
      </c>
      <c r="Q3" s="3">
        <f>ROUND(INT('[1]Roast History'!R2),0)</f>
        <v>0</v>
      </c>
      <c r="R3" s="3">
        <f>ROUND(INT('[1]Roast History'!S2),0)</f>
        <v>0</v>
      </c>
      <c r="S3" s="3">
        <f>ROUND(INT('[1]Roast History'!T2),0)</f>
        <v>265</v>
      </c>
      <c r="T3" s="3">
        <f>ROUND(INT('[1]Roast History'!U2),0)</f>
        <v>1451</v>
      </c>
      <c r="U3" s="3">
        <f>ROUND(INT('[1]Roast History'!V2),0)</f>
        <v>0</v>
      </c>
      <c r="V3" s="3">
        <f>ROUND(INT('[1]Roast History'!W2),0)</f>
        <v>0</v>
      </c>
      <c r="W3" s="3">
        <f>ROUND(INT('[1]Roast History'!X2),0)</f>
        <v>0</v>
      </c>
      <c r="X3" s="3">
        <f>ROUND(INT('[1]Roast History'!Y2),0)</f>
        <v>0</v>
      </c>
      <c r="Y3" s="3">
        <f>ROUND(INT('[1]Roast History'!Z2),0)</f>
        <v>2611</v>
      </c>
      <c r="Z3" s="3">
        <f>ROUND(INT('[1]Roast History'!AA2),0)</f>
        <v>0</v>
      </c>
      <c r="AA3" s="3">
        <f>ROUND(INT('[1]Roast History'!AB2),0)</f>
        <v>0</v>
      </c>
      <c r="AB3" s="3">
        <f>ROUND(INT('[1]Roast History'!AC2),0)</f>
        <v>0</v>
      </c>
      <c r="AC3" s="3">
        <f>ROUND(INT('[1]Roast History'!AD2),0)</f>
        <v>1854</v>
      </c>
      <c r="AD3" s="3">
        <f>ROUND(INT('[1]Roast History'!AE2),0)</f>
        <v>0</v>
      </c>
      <c r="AE3" s="3">
        <f>ROUND(INT('[1]Roast History'!AF2),0)</f>
        <v>0</v>
      </c>
      <c r="AF3" s="3">
        <f>ROUND(INT('[1]Roast History'!AG2),0)</f>
        <v>0</v>
      </c>
      <c r="AG3" s="3">
        <f>ROUND(INT('[1]Roast History'!AH2),0)</f>
        <v>0</v>
      </c>
      <c r="AH3" s="3">
        <f>ROUND(INT('[1]Roast History'!AI2),0)</f>
        <v>2812</v>
      </c>
      <c r="AI3" s="3">
        <f>ROUND(INT('[1]Roast History'!AJ2),0)</f>
        <v>0</v>
      </c>
      <c r="AJ3" s="3">
        <f>ROUND(INT('[1]Roast History'!AK2),0)</f>
        <v>0</v>
      </c>
      <c r="AK3" s="3">
        <f>ROUND(INT('[1]Roast History'!AL2),0)</f>
        <v>0</v>
      </c>
      <c r="AL3" s="3">
        <f>ROUND(INT('[1]Roast History'!AM2),0)</f>
        <v>594</v>
      </c>
      <c r="AM3" s="3">
        <f>ROUND(INT('[1]Roast History'!AN2),0)</f>
        <v>204</v>
      </c>
      <c r="AN3" s="3">
        <f>ROUND(INT('[1]Roast History'!AO2),0)</f>
        <v>1424</v>
      </c>
      <c r="AO3" s="3">
        <f>ROUND(INT('[1]Roast History'!AP2),0)</f>
        <v>215</v>
      </c>
      <c r="AP3" s="3">
        <f>ROUND(INT('[1]Roast History'!AQ2),0)</f>
        <v>2016</v>
      </c>
      <c r="AQ3" s="3">
        <f>ROUND(INT('[1]Roast History'!AR2),0)</f>
        <v>0</v>
      </c>
      <c r="AR3" s="3">
        <f>ROUND(INT('[1]Roast History'!AS2),0)</f>
        <v>2861</v>
      </c>
      <c r="AS3" s="3">
        <f>ROUND(INT('[1]Roast History'!AT2),0)</f>
        <v>0</v>
      </c>
      <c r="AT3" s="3">
        <f>ROUND(INT('[1]Roast History'!AU2),0)</f>
        <v>2081</v>
      </c>
      <c r="AU3" s="3">
        <f>ROUND(INT('[1]Roast History'!AV2),0)</f>
        <v>2445</v>
      </c>
      <c r="AV3" s="3">
        <f>ROUND(INT('[1]Roast History'!AW2),0)</f>
        <v>1245</v>
      </c>
      <c r="AW3" s="3">
        <f>ROUND(INT('[1]Roast History'!AX2),0)</f>
        <v>2490</v>
      </c>
      <c r="AX3" s="3">
        <f>ROUND(INT('[1]Roast History'!AY2),0)</f>
        <v>2270</v>
      </c>
      <c r="AY3" s="3">
        <f>ROUND(INT('[1]Roast History'!AZ2),0)</f>
        <v>3685</v>
      </c>
      <c r="AZ3" s="3">
        <f>ROUND(INT('[1]Roast History'!BA2),0)</f>
        <v>323</v>
      </c>
      <c r="BA3" s="3">
        <f>ROUND(INT('[1]Roast History'!BB2),0)</f>
        <v>2085</v>
      </c>
      <c r="BB3" s="3">
        <f>ROUND(INT('[1]Roast History'!BC2),0)</f>
        <v>1576</v>
      </c>
      <c r="BC3" s="3">
        <f>ROUND(INT('[1]Roast History'!BD2),0)</f>
        <v>1959</v>
      </c>
      <c r="BD3" s="3">
        <f>ROUND(INT('[1]Roast History'!BE2),0)</f>
        <v>3745</v>
      </c>
      <c r="BE3" s="3">
        <f>ROUND(INT('[1]Roast History'!BF2),0)</f>
        <v>2695</v>
      </c>
      <c r="BF3" s="3">
        <f>ROUND(INT('[1]Roast History'!BG2),0)</f>
        <v>454</v>
      </c>
      <c r="BG3" s="3">
        <f>ROUND(INT('[1]Roast History'!BH2),0)</f>
        <v>2028</v>
      </c>
      <c r="BH3" s="3">
        <f>ROUND(INT('[1]Roast History'!BI2),0)</f>
        <v>2314</v>
      </c>
      <c r="BI3" s="3">
        <f>ROUND(INT('[1]Roast History'!BJ2),0)</f>
        <v>4170</v>
      </c>
      <c r="BJ3" s="3">
        <f>ROUND(INT('[1]Roast History'!BK2),0)</f>
        <v>1359</v>
      </c>
      <c r="BK3" s="3">
        <f>ROUND(INT('[1]Roast History'!BL2),0)</f>
        <v>1545</v>
      </c>
      <c r="BL3" s="3">
        <f>ROUND(INT('[1]Roast History'!BM2),0)</f>
        <v>1169</v>
      </c>
      <c r="BM3" s="3">
        <f>ROUND(INT('[1]Roast History'!BN2),0)</f>
        <v>1751</v>
      </c>
      <c r="BN3" s="3">
        <f>ROUND(INT('[1]Roast History'!BO2),0)</f>
        <v>2199</v>
      </c>
      <c r="BO3" s="3">
        <f>ROUND(INT('[1]Roast History'!BP2),0)</f>
        <v>227</v>
      </c>
      <c r="BP3" s="3">
        <f>ROUND(INT('[1]Roast History'!BQ2),0)</f>
        <v>1272</v>
      </c>
      <c r="BQ3" s="3">
        <f>ROUND(INT('[1]Roast History'!BR2),0)</f>
        <v>2278</v>
      </c>
      <c r="BR3" s="3">
        <f>ROUND(INT('[1]Roast History'!BS2),0)</f>
        <v>2207</v>
      </c>
      <c r="BS3" s="3">
        <f>ROUND(INT('[1]Roast History'!BT2),0)</f>
        <v>2143</v>
      </c>
      <c r="BT3" s="3">
        <f>ROUND(INT('[1]Roast History'!BU2),0)</f>
        <v>1700</v>
      </c>
      <c r="BU3" s="3">
        <f>ROUND(INT('[1]Roast History'!BV2),0)</f>
        <v>0</v>
      </c>
      <c r="BV3" s="3">
        <f>ROUND(INT('[1]Roast History'!BW2),0)</f>
        <v>1493</v>
      </c>
      <c r="BW3" s="3">
        <f>ROUND(INT('[1]Roast History'!BX2),0)</f>
        <v>2303</v>
      </c>
      <c r="BX3" s="3">
        <f>ROUND(INT('[1]Roast History'!BY2),0)</f>
        <v>2280</v>
      </c>
      <c r="BY3" s="3">
        <f>ROUND(INT('[1]Roast History'!BZ2),0)</f>
        <v>2090</v>
      </c>
      <c r="BZ3" s="3">
        <f>ROUND(INT('[1]Roast History'!CA2),0)</f>
        <v>2190</v>
      </c>
      <c r="CA3" s="3">
        <f>ROUND(INT('[1]Roast History'!CB2),0)</f>
        <v>2130</v>
      </c>
      <c r="CB3" s="3">
        <f>ROUND(INT('[1]Roast History'!CC2),0)</f>
        <v>454</v>
      </c>
      <c r="CC3" s="3">
        <f>ROUND(INT('[1]Roast History'!CD2),0)</f>
        <v>464</v>
      </c>
      <c r="CD3" s="3">
        <f>ROUND(INT('[1]Roast History'!CE2),0)</f>
        <v>2340</v>
      </c>
      <c r="CE3" s="3">
        <f>ROUND(INT('[1]Roast History'!CF2),0)</f>
        <v>2340</v>
      </c>
      <c r="CF3" s="3">
        <f>ROUND(INT('[1]Roast History'!CG2),0)</f>
        <v>2130</v>
      </c>
      <c r="CG3" s="3">
        <f>ROUND(INT('[1]Roast History'!CH2),0)</f>
        <v>2189</v>
      </c>
      <c r="CH3" s="3">
        <f>ROUND(INT('[1]Roast History'!CI2),0)</f>
        <v>2010</v>
      </c>
      <c r="CI3" s="3">
        <f>ROUND(INT('[1]Roast History'!CJ2),0)</f>
        <v>2225</v>
      </c>
      <c r="CJ3" s="3">
        <f>ROUND(INT('[1]Roast History'!CK2),0)</f>
        <v>2133</v>
      </c>
      <c r="CK3" s="3">
        <f>ROUND(INT('[1]Roast History'!CL2),0)</f>
        <v>910</v>
      </c>
      <c r="CL3" s="3">
        <f>ROUND(INT('[1]Roast History'!CM2),0)</f>
        <v>1954</v>
      </c>
      <c r="CM3" s="3">
        <f>ROUND(INT('[1]Roast History'!CN2),0)</f>
        <v>2199</v>
      </c>
      <c r="CN3" s="3">
        <f>ROUND(INT('[1]Roast History'!CO2),0)</f>
        <v>2345</v>
      </c>
      <c r="CO3" s="3">
        <f>ROUND(INT('[1]Roast History'!CP2),0)</f>
        <v>2245</v>
      </c>
      <c r="CP3" s="3">
        <f>ROUND(INT('[1]Roast History'!CQ2),0)</f>
        <v>1816</v>
      </c>
      <c r="CQ3" s="3">
        <f>ROUND(INT('[1]Roast History'!CR2),0)</f>
        <v>1816</v>
      </c>
      <c r="CR3" s="3">
        <f>ROUND(INT('[1]Roast History'!CS2),0)</f>
        <v>2270</v>
      </c>
      <c r="CS3" s="3">
        <f>ROUND(INT('[1]Roast History'!CT2),0)</f>
        <v>2150</v>
      </c>
      <c r="CT3" s="3">
        <f>ROUND(INT('[1]Roast History'!CU2),0)</f>
        <v>2150</v>
      </c>
      <c r="CU3" s="3">
        <f>ROUND(INT('[1]Roast History'!CV2),0)</f>
        <v>2340</v>
      </c>
      <c r="CV3" s="3">
        <f>ROUND(INT('[1]Roast History'!CW2),0)</f>
        <v>2145</v>
      </c>
      <c r="CW3" s="3">
        <f>ROUND(INT('[1]Roast History'!CX2),0)</f>
        <v>975</v>
      </c>
      <c r="CX3" s="3">
        <f>ROUND(INT('[1]Roast History'!CY2),0)</f>
        <v>2145</v>
      </c>
      <c r="CY3" s="3">
        <f>ROUND(INT('[1]Roast History'!CZ2),0)</f>
        <v>2340</v>
      </c>
      <c r="CZ3" s="3">
        <f>ROUND(INT('[1]Roast History'!DA2),0)</f>
        <v>1755</v>
      </c>
      <c r="DA3" s="3">
        <f>ROUND(INT('[1]Roast History'!DB2),0)</f>
        <v>2150</v>
      </c>
      <c r="DB3" s="3">
        <f>ROUND(INT('[1]Roast History'!DC2),0)</f>
        <v>975</v>
      </c>
      <c r="DC3" s="3">
        <f>ROUND(INT('[1]Roast History'!DD2),0)</f>
        <v>1720</v>
      </c>
      <c r="DD3" s="3">
        <f>ROUND(INT('[1]Roast History'!DE2),0)</f>
        <v>1330</v>
      </c>
      <c r="DE3" s="3">
        <f>ROUND(INT('[1]Roast History'!DF2),0)</f>
        <v>3510</v>
      </c>
      <c r="DF3" s="3">
        <f>ROUND(INT('[1]Roast History'!DG2),0)</f>
        <v>2340</v>
      </c>
      <c r="DG3" s="3">
        <f>ROUND(INT('[1]Roast History'!DH2),0)</f>
        <v>2340</v>
      </c>
      <c r="DH3" s="3">
        <f>ROUND(INT('[1]Roast History'!DI2),0)</f>
        <v>3315</v>
      </c>
      <c r="DI3" s="3">
        <f>ROUND(INT('[1]Roast History'!DJ2),0)</f>
        <v>2145</v>
      </c>
      <c r="DJ3" s="3">
        <f>ROUND(INT('[1]Roast History'!DK2),0)</f>
        <v>2145</v>
      </c>
      <c r="DK3" s="3">
        <f>ROUND(INT('[1]Roast History'!DL2),0)</f>
        <v>2925</v>
      </c>
      <c r="DL3" s="3">
        <f>ROUND(INT('[1]Roast History'!DM2),0)</f>
        <v>2395</v>
      </c>
      <c r="DM3" s="3">
        <f>ROUND(INT('[1]Roast History'!DN2),0)</f>
        <v>2400</v>
      </c>
      <c r="DN3" s="3">
        <f>ROUND(INT('[1]Roast History'!DO2),0)</f>
        <v>908</v>
      </c>
      <c r="DO3" s="3">
        <f>ROUND(INT('[1]Roast History'!DP2),0)</f>
        <v>900</v>
      </c>
      <c r="DP3" s="3">
        <f>ROUND(INT('[1]Roast History'!DQ2),0)</f>
        <v>4995</v>
      </c>
      <c r="DQ3" s="3">
        <f>ROUND(INT('[1]Roast History'!DR2),0)</f>
        <v>2340</v>
      </c>
      <c r="DR3" s="3">
        <f>ROUND(INT('[1]Roast History'!DS2),0)</f>
        <v>5265</v>
      </c>
      <c r="DS3" s="3">
        <f>ROUND(INT('[1]Roast History'!DT2),0)</f>
        <v>2535</v>
      </c>
      <c r="DT3" s="3">
        <f>ROUND(INT('[1]Roast History'!DU2),0)</f>
        <v>2535</v>
      </c>
      <c r="DU3" s="3">
        <f>ROUND(INT('[1]Roast History'!DV2),0)</f>
        <v>2340</v>
      </c>
      <c r="DV3" s="3">
        <f>ROUND(INT('[1]Roast History'!DW2),0)</f>
        <v>900</v>
      </c>
      <c r="DW3" s="3">
        <f>ROUND(INT('[1]Roast History'!DX2),0)</f>
        <v>2535</v>
      </c>
      <c r="DX3" s="3">
        <f>ROUND(INT('[1]Roast History'!DY2),0)</f>
        <v>2925</v>
      </c>
      <c r="DY3" s="3">
        <f>ROUND(INT('[1]Roast History'!DZ2),0)</f>
        <v>4720</v>
      </c>
      <c r="DZ3" s="3">
        <f>ROUND(INT('[1]Roast History'!EA2),0)</f>
        <v>2615</v>
      </c>
      <c r="EA3" s="3">
        <f>ROUND(INT('[1]Roast History'!EB2),0)</f>
        <v>2535</v>
      </c>
      <c r="EB3" s="3">
        <f>ROUND(INT('[1]Roast History'!EC2),0)</f>
        <v>2535</v>
      </c>
      <c r="EC3" s="3">
        <f>ROUND(INT('[1]Roast History'!ED2),0)</f>
        <v>4895</v>
      </c>
      <c r="ED3" s="3">
        <f>ROUND(INT('[1]Roast History'!EE2),0)</f>
        <v>3120</v>
      </c>
      <c r="EE3" s="3">
        <f>ROUND(INT('[1]Roast History'!EF2),0)</f>
        <v>3005</v>
      </c>
      <c r="EF3" s="3">
        <f>ROUND(INT('[1]Roast History'!EG2),0)</f>
        <v>3180</v>
      </c>
      <c r="EG3" s="3">
        <f>ROUND(INT('[1]Roast History'!EH2),0)</f>
        <v>3140</v>
      </c>
      <c r="EH3" s="3">
        <f>ROUND(INT('[1]Roast History'!EI2),0)</f>
        <v>2150</v>
      </c>
      <c r="EI3" s="3">
        <f>ROUND(INT('[1]Roast History'!EJ2),0)</f>
        <v>2580</v>
      </c>
      <c r="EJ3" s="3">
        <f>ROUND(INT('[1]Roast History'!EK2),0)</f>
        <v>2265</v>
      </c>
      <c r="EK3" s="3">
        <f>ROUND(INT('[1]Roast History'!EL2),0)</f>
        <v>2285</v>
      </c>
      <c r="EL3" s="3">
        <f>ROUND(INT('[1]Roast History'!EM2),0)</f>
        <v>2185</v>
      </c>
      <c r="EM3" s="3">
        <f>ROUND(INT('[1]Roast History'!EN2),0)</f>
        <v>2524</v>
      </c>
      <c r="EN3" s="3">
        <f>ROUND(INT('[1]Roast History'!EO2),0)</f>
        <v>2250</v>
      </c>
      <c r="EO3" s="3">
        <f>ROUND(INT('[1]Roast History'!EP2),0)</f>
        <v>2205</v>
      </c>
      <c r="EP3" s="3">
        <f>ROUND(INT('[1]Roast History'!EQ2),0)</f>
        <v>2205</v>
      </c>
      <c r="EQ3" s="3">
        <f>ROUND(INT('[1]Roast History'!ER2),0)</f>
        <v>2794</v>
      </c>
      <c r="ER3" s="3">
        <f>ROUND(INT('[1]Roast History'!ES2),0)</f>
        <v>1950</v>
      </c>
      <c r="ES3" s="3">
        <f>ROUND(INT('[1]Roast History'!ET2),0)</f>
        <v>2150</v>
      </c>
      <c r="ET3" s="3">
        <f>ROUND(INT('[1]Roast History'!EU2),0)</f>
        <v>2365</v>
      </c>
      <c r="EU3" s="3">
        <f>ROUND(INT('[1]Roast History'!EV2),0)</f>
        <v>2145</v>
      </c>
      <c r="EV3" s="3">
        <f>ROUND(INT('[1]Roast History'!EW2),0)</f>
        <v>5448</v>
      </c>
      <c r="EW3" s="3">
        <f>ROUND(INT('[1]Roast History'!EX2),0)</f>
        <v>2145</v>
      </c>
      <c r="EX3" s="3">
        <f>ROUND(INT('[1]Roast History'!EY2),0)</f>
        <v>2130</v>
      </c>
      <c r="EY3" s="3">
        <f>ROUND(INT('[1]Roast History'!EZ2),0)</f>
        <v>2150</v>
      </c>
      <c r="EZ3" s="3">
        <f>ROUND(INT('[1]Roast History'!FA2),0)</f>
        <v>2145</v>
      </c>
      <c r="FA3" s="3">
        <f>ROUND(INT('[1]Roast History'!FB2),0)</f>
        <v>2410</v>
      </c>
      <c r="FB3" s="3">
        <f>ROUND(INT('[1]Roast History'!FC2),0)</f>
        <v>2270</v>
      </c>
      <c r="FC3" s="3">
        <f>ROUND(INT('[1]Roast History'!FD2),0)</f>
        <v>2270</v>
      </c>
      <c r="FD3" s="3">
        <f>ROUND(INT('[1]Roast History'!FE2),0)</f>
        <v>2270</v>
      </c>
      <c r="FE3" s="3">
        <f>ROUND(INT('[1]Roast History'!FF2),0)</f>
        <v>2145</v>
      </c>
      <c r="FF3" s="3">
        <f>ROUND(INT('[1]Roast History'!FG2),0)</f>
        <v>2270</v>
      </c>
      <c r="FG3" s="3">
        <f>ROUND(INT('[1]Roast History'!FH2),0)</f>
        <v>2270</v>
      </c>
      <c r="FH3" s="3">
        <f>ROUND(INT('[1]Roast History'!FI2),0)</f>
        <v>2270</v>
      </c>
      <c r="FI3" s="3">
        <f>ROUND(INT('[1]Roast History'!FJ2),0)</f>
        <v>2724</v>
      </c>
      <c r="FJ3" s="3">
        <f>ROUND(INT('[1]Roast History'!FK2),0)</f>
        <v>4590</v>
      </c>
      <c r="FK3" s="3">
        <f>ROUND(INT('[1]Roast History'!FL2),0)</f>
        <v>2270</v>
      </c>
      <c r="FL3" s="3">
        <f>ROUND(INT('[1]Roast History'!FM2),0)</f>
        <v>2270</v>
      </c>
      <c r="FM3" s="3">
        <f>ROUND(INT('[1]Roast History'!FN2),0)</f>
        <v>2270</v>
      </c>
      <c r="FN3" s="3">
        <f>ROUND(INT('[1]Roast History'!FO2),0)</f>
        <v>2265</v>
      </c>
      <c r="FO3" s="3">
        <f>ROUND(INT('[1]Roast History'!FP2),0)</f>
        <v>2270</v>
      </c>
      <c r="FP3" s="3">
        <f>ROUND(INT('[1]Roast History'!FQ2),0)</f>
        <v>2270</v>
      </c>
      <c r="FQ3" s="3">
        <f>ROUND(INT('[1]Roast History'!FR2),0)</f>
        <v>2340</v>
      </c>
      <c r="FR3" s="3">
        <f>ROUND(INT('[1]Roast History'!FS2),0)</f>
        <v>2270</v>
      </c>
      <c r="FS3" s="3">
        <f>ROUND(INT('[1]Roast History'!FT2),0)</f>
        <v>2270</v>
      </c>
      <c r="FT3" s="3">
        <f>ROUND(INT('[1]Roast History'!FU2),0)</f>
        <v>2460</v>
      </c>
      <c r="FU3" s="3">
        <f>ROUND(INT('[1]Roast History'!FV2),0)</f>
        <v>2724</v>
      </c>
      <c r="FV3" s="3">
        <f>ROUND(INT('[1]Roast History'!FW2),0)</f>
        <v>2724</v>
      </c>
      <c r="FW3" s="3">
        <f>ROUND(INT('[1]Roast History'!FX2),0)</f>
        <v>2724</v>
      </c>
      <c r="FX3" s="3">
        <f>ROUND(INT('[1]Roast History'!FY2),0)</f>
        <v>4540</v>
      </c>
      <c r="FY3" s="3">
        <f>ROUND(INT('[1]Roast History'!FZ2),0)</f>
        <v>2270</v>
      </c>
      <c r="FZ3" s="3">
        <f>ROUND(INT('[1]Roast History'!GA2),0)</f>
        <v>2270</v>
      </c>
      <c r="GA3" s="3">
        <f>ROUND(INT('[1]Roast History'!GB2),0)</f>
        <v>2270</v>
      </c>
      <c r="GB3" s="3">
        <f>ROUND(INT('[1]Roast History'!GC2),0)</f>
        <v>4540</v>
      </c>
      <c r="GC3" s="3">
        <f>ROUND(INT('[1]Roast History'!GD2),0)</f>
        <v>4540</v>
      </c>
      <c r="GD3" s="3">
        <f>ROUND(INT('[1]Roast History'!GE2),0)</f>
        <v>2270</v>
      </c>
    </row>
    <row r="4" spans="1:194" x14ac:dyDescent="0.35">
      <c r="A4">
        <v>3</v>
      </c>
      <c r="B4" t="s">
        <v>12</v>
      </c>
      <c r="C4" s="4">
        <v>1.2836903867562901</v>
      </c>
      <c r="D4" s="4">
        <v>21.999955692792</v>
      </c>
      <c r="E4" s="4">
        <f t="shared" ref="E4:E67" si="3">D4*C4</f>
        <v>28.241131631901407</v>
      </c>
      <c r="F4" s="5">
        <v>40339</v>
      </c>
      <c r="G4" t="s">
        <v>13</v>
      </c>
      <c r="H4" t="s">
        <v>14</v>
      </c>
      <c r="I4" t="s">
        <v>15</v>
      </c>
      <c r="J4" t="s">
        <v>16</v>
      </c>
      <c r="K4" s="4">
        <f t="shared" ref="K4:K67" si="4">454*C4</f>
        <v>582.79543558735566</v>
      </c>
      <c r="L4">
        <f>HLOOKUP(A4,$N$1:$HZ$2,2)</f>
        <v>0</v>
      </c>
    </row>
    <row r="5" spans="1:194" x14ac:dyDescent="0.35">
      <c r="A5">
        <v>4</v>
      </c>
      <c r="B5" t="s">
        <v>17</v>
      </c>
      <c r="C5" s="4">
        <f>1.81-26.74/454</f>
        <v>1.751101321585903</v>
      </c>
      <c r="D5" s="4">
        <v>6.9999735315510003</v>
      </c>
      <c r="E5" s="4">
        <f t="shared" si="3"/>
        <v>12.257662902165297</v>
      </c>
      <c r="F5" s="5">
        <v>40336</v>
      </c>
      <c r="G5" t="s">
        <v>13</v>
      </c>
      <c r="H5" t="s">
        <v>18</v>
      </c>
      <c r="I5" t="s">
        <v>19</v>
      </c>
      <c r="J5" t="s">
        <v>16</v>
      </c>
      <c r="K5" s="4">
        <f t="shared" si="4"/>
        <v>795</v>
      </c>
      <c r="L5">
        <f t="shared" ref="L5:L68" si="5">HLOOKUP(A5,$N$1:$HZ$2,2)</f>
        <v>0</v>
      </c>
    </row>
    <row r="6" spans="1:194" x14ac:dyDescent="0.35">
      <c r="A6">
        <v>5</v>
      </c>
      <c r="B6" t="s">
        <v>20</v>
      </c>
      <c r="C6" s="4">
        <f>5.12532123142856-(214+441)/454</f>
        <v>3.6825899538955209</v>
      </c>
      <c r="D6" s="4">
        <v>6.4999786621000002</v>
      </c>
      <c r="E6" s="4">
        <f t="shared" si="3"/>
        <v>23.936756121584711</v>
      </c>
      <c r="F6" s="5">
        <v>40354</v>
      </c>
      <c r="G6" t="s">
        <v>21</v>
      </c>
      <c r="H6" t="s">
        <v>22</v>
      </c>
      <c r="I6" t="s">
        <v>23</v>
      </c>
      <c r="J6" t="s">
        <v>16</v>
      </c>
      <c r="K6" s="4">
        <f t="shared" si="4"/>
        <v>1671.8958390685666</v>
      </c>
      <c r="L6">
        <f t="shared" si="5"/>
        <v>0</v>
      </c>
    </row>
    <row r="7" spans="1:194" x14ac:dyDescent="0.35">
      <c r="A7">
        <v>8</v>
      </c>
      <c r="B7" t="s">
        <v>24</v>
      </c>
      <c r="C7" s="4">
        <f>0.815775005210074-105/454</f>
        <v>0.58449747217042636</v>
      </c>
      <c r="D7" s="4">
        <v>6.9999735315510003</v>
      </c>
      <c r="E7" s="4">
        <f t="shared" si="3"/>
        <v>4.0914668344514515</v>
      </c>
      <c r="F7" s="5">
        <v>40386</v>
      </c>
      <c r="G7" t="s">
        <v>13</v>
      </c>
      <c r="H7" t="s">
        <v>22</v>
      </c>
      <c r="I7" t="s">
        <v>25</v>
      </c>
      <c r="J7" t="s">
        <v>16</v>
      </c>
      <c r="K7" s="4">
        <f t="shared" si="4"/>
        <v>265.36185236537358</v>
      </c>
      <c r="L7">
        <f t="shared" si="5"/>
        <v>0</v>
      </c>
    </row>
    <row r="8" spans="1:194" x14ac:dyDescent="0.35">
      <c r="A8">
        <v>9</v>
      </c>
      <c r="B8" t="s">
        <v>26</v>
      </c>
      <c r="C8" s="4">
        <f>2.59383702265539+274/454</f>
        <v>3.1973612517302801</v>
      </c>
      <c r="D8" s="4">
        <v>5.7999949167159999</v>
      </c>
      <c r="E8" s="4">
        <f t="shared" si="3"/>
        <v>18.544679006940331</v>
      </c>
      <c r="F8" s="5">
        <v>40418</v>
      </c>
      <c r="G8" t="s">
        <v>27</v>
      </c>
      <c r="H8" t="s">
        <v>28</v>
      </c>
      <c r="I8" t="s">
        <v>25</v>
      </c>
      <c r="J8" t="s">
        <v>16</v>
      </c>
      <c r="K8" s="4">
        <f t="shared" si="4"/>
        <v>1451.6020082855471</v>
      </c>
      <c r="L8">
        <f t="shared" si="5"/>
        <v>0</v>
      </c>
    </row>
    <row r="9" spans="1:194" x14ac:dyDescent="0.35">
      <c r="A9">
        <v>14</v>
      </c>
      <c r="B9" t="s">
        <v>29</v>
      </c>
      <c r="C9" s="4">
        <f>5.84500521630247+(73-115)/454</f>
        <v>5.7524942030866111</v>
      </c>
      <c r="D9" s="4">
        <v>5.9999837926490001</v>
      </c>
      <c r="E9" s="4">
        <f t="shared" si="3"/>
        <v>34.514871985826993</v>
      </c>
      <c r="F9" s="5">
        <v>40400</v>
      </c>
      <c r="G9" t="s">
        <v>13</v>
      </c>
      <c r="H9" t="s">
        <v>30</v>
      </c>
      <c r="I9" t="s">
        <v>19</v>
      </c>
      <c r="J9" t="s">
        <v>16</v>
      </c>
      <c r="K9" s="4">
        <f t="shared" si="4"/>
        <v>2611.6323682013212</v>
      </c>
      <c r="L9">
        <f t="shared" si="5"/>
        <v>0</v>
      </c>
    </row>
    <row r="10" spans="1:194" x14ac:dyDescent="0.35">
      <c r="A10">
        <v>18</v>
      </c>
      <c r="B10" t="s">
        <v>31</v>
      </c>
      <c r="C10" s="4">
        <f>4.32356672164702-108/454</f>
        <v>4.0856812590919542</v>
      </c>
      <c r="D10" s="4">
        <v>11.699961591779999</v>
      </c>
      <c r="E10" s="4">
        <f t="shared" si="3"/>
        <v>47.802313807631215</v>
      </c>
      <c r="F10" s="5">
        <v>40400</v>
      </c>
      <c r="G10" t="s">
        <v>13</v>
      </c>
      <c r="H10" t="s">
        <v>32</v>
      </c>
      <c r="I10" t="s">
        <v>32</v>
      </c>
      <c r="J10" t="s">
        <v>16</v>
      </c>
      <c r="K10" s="4">
        <f t="shared" si="4"/>
        <v>1854.8992916277473</v>
      </c>
      <c r="L10">
        <f t="shared" si="5"/>
        <v>0</v>
      </c>
    </row>
    <row r="11" spans="1:194" x14ac:dyDescent="0.35">
      <c r="A11">
        <v>23</v>
      </c>
      <c r="B11" t="s">
        <v>33</v>
      </c>
      <c r="C11" s="4">
        <f>6.14886653764701+21/454</f>
        <v>6.1951220442549397</v>
      </c>
      <c r="D11" s="4">
        <v>5.0999658120950002</v>
      </c>
      <c r="E11" s="4">
        <f t="shared" si="3"/>
        <v>31.594910627456283</v>
      </c>
      <c r="F11" s="5">
        <v>40514</v>
      </c>
      <c r="G11" t="s">
        <v>13</v>
      </c>
      <c r="H11" t="s">
        <v>34</v>
      </c>
      <c r="I11" t="s">
        <v>35</v>
      </c>
      <c r="J11" t="s">
        <v>16</v>
      </c>
      <c r="K11" s="4">
        <f t="shared" si="4"/>
        <v>2812.5854080917425</v>
      </c>
      <c r="L11">
        <f t="shared" si="5"/>
        <v>0</v>
      </c>
    </row>
    <row r="12" spans="1:194" x14ac:dyDescent="0.35">
      <c r="A12">
        <v>27</v>
      </c>
      <c r="B12" t="s">
        <v>36</v>
      </c>
      <c r="C12" s="4">
        <f>1.33577500521007-12/454</f>
        <v>1.3093432871483961</v>
      </c>
      <c r="D12" s="4">
        <v>5.9999837926490001</v>
      </c>
      <c r="E12" s="4">
        <f t="shared" si="3"/>
        <v>7.8560385019041421</v>
      </c>
      <c r="F12" s="5">
        <v>40594</v>
      </c>
      <c r="G12" t="s">
        <v>13</v>
      </c>
      <c r="H12" t="s">
        <v>30</v>
      </c>
      <c r="I12" t="s">
        <v>37</v>
      </c>
      <c r="J12" t="s">
        <v>16</v>
      </c>
      <c r="K12" s="4">
        <f t="shared" si="4"/>
        <v>594.4418523653718</v>
      </c>
      <c r="L12">
        <f t="shared" si="5"/>
        <v>0</v>
      </c>
    </row>
    <row r="13" spans="1:194" x14ac:dyDescent="0.35">
      <c r="A13">
        <v>28</v>
      </c>
      <c r="B13" t="s">
        <v>38</v>
      </c>
      <c r="C13" s="4">
        <f>0.4+23/454</f>
        <v>0.45066079295154188</v>
      </c>
      <c r="D13" s="4">
        <v>12.099984702883001</v>
      </c>
      <c r="E13" s="4">
        <f t="shared" si="3"/>
        <v>5.4529887009027798</v>
      </c>
      <c r="F13" s="5">
        <v>40605</v>
      </c>
      <c r="G13" t="s">
        <v>13</v>
      </c>
      <c r="H13" t="s">
        <v>32</v>
      </c>
      <c r="I13" t="s">
        <v>32</v>
      </c>
      <c r="J13" t="s">
        <v>16</v>
      </c>
      <c r="K13" s="4">
        <f t="shared" si="4"/>
        <v>204.60000000000002</v>
      </c>
      <c r="L13">
        <f t="shared" si="5"/>
        <v>0</v>
      </c>
    </row>
    <row r="14" spans="1:194" x14ac:dyDescent="0.35">
      <c r="A14">
        <v>29</v>
      </c>
      <c r="B14" t="s">
        <v>39</v>
      </c>
      <c r="C14" s="4">
        <f>3.33577500521007-90/454</f>
        <v>3.137537119747515</v>
      </c>
      <c r="D14" s="4">
        <v>4.9999940537469998</v>
      </c>
      <c r="E14" s="4">
        <f t="shared" si="3"/>
        <v>15.687666942148063</v>
      </c>
      <c r="F14" s="5">
        <v>40606</v>
      </c>
      <c r="G14" t="s">
        <v>13</v>
      </c>
      <c r="H14" t="s">
        <v>30</v>
      </c>
      <c r="I14" t="s">
        <v>40</v>
      </c>
      <c r="J14" t="s">
        <v>16</v>
      </c>
      <c r="K14" s="4">
        <f t="shared" si="4"/>
        <v>1424.4418523653719</v>
      </c>
      <c r="L14">
        <f t="shared" si="5"/>
        <v>0</v>
      </c>
    </row>
    <row r="15" spans="1:194" x14ac:dyDescent="0.35">
      <c r="A15">
        <v>30</v>
      </c>
      <c r="B15" t="s">
        <v>41</v>
      </c>
      <c r="C15" s="4">
        <f>3.04443509929411-(702+465)/454</f>
        <v>0.47395051779631236</v>
      </c>
      <c r="D15" s="4">
        <v>8.5999752574889996</v>
      </c>
      <c r="E15" s="4">
        <f t="shared" si="3"/>
        <v>4.0759627263223859</v>
      </c>
      <c r="F15" s="5">
        <v>40744</v>
      </c>
      <c r="G15" t="s">
        <v>27</v>
      </c>
      <c r="H15" t="s">
        <v>42</v>
      </c>
      <c r="I15" t="s">
        <v>43</v>
      </c>
      <c r="J15" t="s">
        <v>16</v>
      </c>
      <c r="K15" s="4">
        <f>454*C15</f>
        <v>215.17353507952581</v>
      </c>
      <c r="L15">
        <f t="shared" si="5"/>
        <v>0</v>
      </c>
    </row>
    <row r="16" spans="1:194" x14ac:dyDescent="0.35">
      <c r="A16">
        <v>31</v>
      </c>
      <c r="B16" t="s">
        <v>44</v>
      </c>
      <c r="C16" s="4">
        <f>5+(170-2*212)/454</f>
        <v>4.4405286343612334</v>
      </c>
      <c r="D16" s="4">
        <v>8.6999923750740003</v>
      </c>
      <c r="E16" s="4">
        <f t="shared" si="3"/>
        <v>38.63256526024049</v>
      </c>
      <c r="F16" s="5">
        <v>40744</v>
      </c>
      <c r="G16" t="s">
        <v>27</v>
      </c>
      <c r="H16" t="s">
        <v>45</v>
      </c>
      <c r="I16" t="s">
        <v>43</v>
      </c>
      <c r="J16" t="s">
        <v>16</v>
      </c>
      <c r="K16" s="4">
        <f t="shared" si="4"/>
        <v>2016</v>
      </c>
      <c r="L16">
        <f t="shared" si="5"/>
        <v>0</v>
      </c>
    </row>
    <row r="17" spans="1:16" x14ac:dyDescent="0.35">
      <c r="A17">
        <v>33</v>
      </c>
      <c r="B17" t="s">
        <v>46</v>
      </c>
      <c r="C17" s="4">
        <f>6.18193587697474+55/454</f>
        <v>6.3030812514240795</v>
      </c>
      <c r="D17" s="4">
        <v>5.909991066441</v>
      </c>
      <c r="E17" s="4">
        <f t="shared" si="3"/>
        <v>37.251153886968069</v>
      </c>
      <c r="F17" s="5">
        <v>40691</v>
      </c>
      <c r="G17" t="s">
        <v>13</v>
      </c>
      <c r="H17" t="s">
        <v>47</v>
      </c>
      <c r="I17" t="s">
        <v>48</v>
      </c>
      <c r="J17" t="s">
        <v>16</v>
      </c>
      <c r="K17" s="4">
        <f t="shared" si="4"/>
        <v>2861.5988881465319</v>
      </c>
      <c r="L17">
        <f t="shared" si="5"/>
        <v>0</v>
      </c>
    </row>
    <row r="18" spans="1:16" x14ac:dyDescent="0.35">
      <c r="A18">
        <v>35</v>
      </c>
      <c r="B18" t="s">
        <v>49</v>
      </c>
      <c r="C18" s="4">
        <f>4.75995428588228-80/454</f>
        <v>4.5837428321377871</v>
      </c>
      <c r="D18" s="4">
        <v>5.909991066441</v>
      </c>
      <c r="E18" s="4">
        <f t="shared" si="3"/>
        <v>27.089879188797291</v>
      </c>
      <c r="F18" s="5">
        <v>40787</v>
      </c>
      <c r="G18" t="s">
        <v>50</v>
      </c>
      <c r="H18" t="s">
        <v>47</v>
      </c>
      <c r="I18" t="s">
        <v>51</v>
      </c>
      <c r="J18" t="s">
        <v>16</v>
      </c>
      <c r="K18" s="4">
        <f t="shared" si="4"/>
        <v>2081.0192457905555</v>
      </c>
      <c r="L18">
        <f t="shared" si="5"/>
        <v>0</v>
      </c>
      <c r="O18" t="s">
        <v>52</v>
      </c>
    </row>
    <row r="19" spans="1:16" x14ac:dyDescent="0.35">
      <c r="A19">
        <v>36</v>
      </c>
      <c r="B19" t="s">
        <v>53</v>
      </c>
      <c r="C19" s="4">
        <f>2.52+1.77022785899154-(195+107+285-5*217)/454</f>
        <v>5.3871441585510116</v>
      </c>
      <c r="D19" s="4">
        <v>6.7999846556180001</v>
      </c>
      <c r="E19" s="4">
        <f t="shared" si="3"/>
        <v>36.632497615749024</v>
      </c>
      <c r="F19" s="5">
        <v>40848</v>
      </c>
      <c r="G19" t="s">
        <v>13</v>
      </c>
      <c r="H19" t="s">
        <v>22</v>
      </c>
      <c r="I19" t="s">
        <v>25</v>
      </c>
      <c r="J19" t="s">
        <v>16</v>
      </c>
      <c r="K19" s="4">
        <f>454*C19</f>
        <v>2445.7634479821591</v>
      </c>
      <c r="L19">
        <f t="shared" si="5"/>
        <v>0</v>
      </c>
      <c r="M19">
        <v>1258</v>
      </c>
      <c r="N19">
        <v>114</v>
      </c>
      <c r="O19">
        <f>M19-N19</f>
        <v>1144</v>
      </c>
      <c r="P19">
        <f>O19/454</f>
        <v>2.5198237885462555</v>
      </c>
    </row>
    <row r="20" spans="1:16" x14ac:dyDescent="0.35">
      <c r="A20">
        <f>1+A19</f>
        <v>37</v>
      </c>
      <c r="B20" t="s">
        <v>54</v>
      </c>
      <c r="C20" s="4">
        <f>2.86372067942854-55/454</f>
        <v>2.7425753049792005</v>
      </c>
      <c r="D20" s="4">
        <v>6.4999786621000002</v>
      </c>
      <c r="E20" s="4">
        <f t="shared" si="3"/>
        <v>17.826680961567202</v>
      </c>
      <c r="F20" s="5">
        <v>40827</v>
      </c>
      <c r="G20" t="s">
        <v>27</v>
      </c>
      <c r="H20" t="s">
        <v>55</v>
      </c>
      <c r="I20" t="s">
        <v>56</v>
      </c>
      <c r="J20" t="s">
        <v>16</v>
      </c>
      <c r="K20" s="4">
        <f t="shared" si="4"/>
        <v>1245.1291884605571</v>
      </c>
      <c r="L20">
        <f t="shared" si="5"/>
        <v>0</v>
      </c>
    </row>
    <row r="21" spans="1:16" x14ac:dyDescent="0.35">
      <c r="A21">
        <f>1+A20</f>
        <v>38</v>
      </c>
      <c r="B21" t="s">
        <v>57</v>
      </c>
      <c r="C21" s="4">
        <f>851/454+3.61108774823527</f>
        <v>5.485537087442319</v>
      </c>
      <c r="D21" s="4">
        <v>6.4999786621000002</v>
      </c>
      <c r="E21" s="4">
        <f t="shared" si="3"/>
        <v>35.655874018533254</v>
      </c>
      <c r="F21" s="5">
        <v>40827</v>
      </c>
      <c r="G21" t="s">
        <v>27</v>
      </c>
      <c r="H21" t="s">
        <v>55</v>
      </c>
      <c r="I21" t="s">
        <v>58</v>
      </c>
      <c r="J21" t="s">
        <v>16</v>
      </c>
      <c r="K21" s="4">
        <f>454*C21</f>
        <v>2490.433837698813</v>
      </c>
      <c r="L21">
        <f t="shared" si="5"/>
        <v>0</v>
      </c>
    </row>
    <row r="22" spans="1:16" x14ac:dyDescent="0.35">
      <c r="A22">
        <v>39</v>
      </c>
      <c r="B22" t="s">
        <v>59</v>
      </c>
      <c r="C22" s="4">
        <v>5</v>
      </c>
      <c r="D22" s="4">
        <v>7.2499936458949996</v>
      </c>
      <c r="E22" s="4">
        <f t="shared" si="3"/>
        <v>36.249968229475002</v>
      </c>
      <c r="F22" s="5">
        <v>40739</v>
      </c>
      <c r="G22" t="s">
        <v>60</v>
      </c>
      <c r="H22" t="s">
        <v>30</v>
      </c>
      <c r="I22" t="s">
        <v>40</v>
      </c>
      <c r="J22" t="s">
        <v>16</v>
      </c>
      <c r="K22" s="4">
        <f t="shared" si="4"/>
        <v>2270</v>
      </c>
      <c r="L22">
        <f t="shared" si="5"/>
        <v>0</v>
      </c>
    </row>
    <row r="23" spans="1:16" x14ac:dyDescent="0.35">
      <c r="A23">
        <v>40</v>
      </c>
      <c r="B23" t="s">
        <v>61</v>
      </c>
      <c r="C23" s="4">
        <f>8.05552284752938+28/454</f>
        <v>8.1171968563399517</v>
      </c>
      <c r="D23" s="4">
        <v>5.7899705253390001</v>
      </c>
      <c r="E23" s="4">
        <f t="shared" si="3"/>
        <v>46.998330546582707</v>
      </c>
      <c r="F23" s="5">
        <v>40801</v>
      </c>
      <c r="G23" t="s">
        <v>62</v>
      </c>
      <c r="H23" t="s">
        <v>22</v>
      </c>
      <c r="I23" t="s">
        <v>25</v>
      </c>
      <c r="J23" t="s">
        <v>16</v>
      </c>
      <c r="K23" s="4">
        <f t="shared" si="4"/>
        <v>3685.2073727783381</v>
      </c>
      <c r="L23">
        <f t="shared" si="5"/>
        <v>0</v>
      </c>
    </row>
    <row r="24" spans="1:16" x14ac:dyDescent="0.35">
      <c r="A24">
        <v>41</v>
      </c>
      <c r="B24" t="s">
        <v>63</v>
      </c>
      <c r="C24" s="4">
        <f>0.787457557983173+(286-320)/454</f>
        <v>0.71256769014176324</v>
      </c>
      <c r="D24" s="4">
        <v>5.9799803691319999</v>
      </c>
      <c r="E24" s="4">
        <f t="shared" si="3"/>
        <v>4.2611407987254779</v>
      </c>
      <c r="F24" s="5">
        <v>40892</v>
      </c>
      <c r="G24" t="s">
        <v>13</v>
      </c>
      <c r="H24" t="s">
        <v>30</v>
      </c>
      <c r="I24" t="s">
        <v>64</v>
      </c>
      <c r="J24" t="s">
        <v>16</v>
      </c>
      <c r="K24" s="4">
        <f t="shared" si="4"/>
        <v>323.50573132436051</v>
      </c>
      <c r="L24">
        <f t="shared" si="5"/>
        <v>0</v>
      </c>
    </row>
    <row r="25" spans="1:16" x14ac:dyDescent="0.35">
      <c r="A25">
        <v>42</v>
      </c>
      <c r="B25" t="s">
        <v>65</v>
      </c>
      <c r="C25" s="4">
        <f>4.43782123142856+71/454</f>
        <v>4.5942088966267978</v>
      </c>
      <c r="D25" s="4">
        <v>12.199956461231</v>
      </c>
      <c r="E25" s="4">
        <f t="shared" si="3"/>
        <v>56.049148512647044</v>
      </c>
      <c r="F25" s="5">
        <v>41035</v>
      </c>
      <c r="G25" t="s">
        <v>13</v>
      </c>
      <c r="H25" t="s">
        <v>66</v>
      </c>
      <c r="I25" t="s">
        <v>32</v>
      </c>
      <c r="J25" t="s">
        <v>16</v>
      </c>
      <c r="K25" s="4">
        <f t="shared" si="4"/>
        <v>2085.7708390685661</v>
      </c>
      <c r="L25">
        <f t="shared" si="5"/>
        <v>0</v>
      </c>
    </row>
    <row r="26" spans="1:16" x14ac:dyDescent="0.35">
      <c r="A26">
        <v>43</v>
      </c>
      <c r="B26" t="s">
        <v>67</v>
      </c>
      <c r="C26" s="4">
        <f>3.78745755798317-143/454</f>
        <v>3.4724795844148884</v>
      </c>
      <c r="D26" s="4">
        <v>4.9999940537469998</v>
      </c>
      <c r="E26" s="4">
        <f t="shared" si="3"/>
        <v>17.362377273832294</v>
      </c>
      <c r="F26" s="5">
        <v>41015</v>
      </c>
      <c r="G26" t="s">
        <v>13</v>
      </c>
      <c r="H26" t="s">
        <v>47</v>
      </c>
      <c r="I26" t="s">
        <v>68</v>
      </c>
      <c r="J26" t="s">
        <v>16</v>
      </c>
      <c r="K26" s="4">
        <f t="shared" si="4"/>
        <v>1576.5057313243592</v>
      </c>
      <c r="L26">
        <f t="shared" si="5"/>
        <v>0</v>
      </c>
    </row>
    <row r="27" spans="1:16" x14ac:dyDescent="0.35">
      <c r="A27">
        <v>44</v>
      </c>
      <c r="B27" t="s">
        <v>69</v>
      </c>
      <c r="C27" s="4">
        <f>4.3716825527731-25/454</f>
        <v>4.3166164734779455</v>
      </c>
      <c r="D27" s="4">
        <v>2.9999692167059999</v>
      </c>
      <c r="E27" s="4">
        <f t="shared" si="3"/>
        <v>12.949716540759848</v>
      </c>
      <c r="F27" s="5">
        <v>41078</v>
      </c>
      <c r="G27" t="s">
        <v>70</v>
      </c>
      <c r="H27" t="s">
        <v>22</v>
      </c>
      <c r="I27" t="s">
        <v>71</v>
      </c>
      <c r="J27" t="s">
        <v>16</v>
      </c>
      <c r="K27" s="4">
        <f t="shared" si="4"/>
        <v>1959.7438789589874</v>
      </c>
      <c r="L27">
        <f t="shared" si="5"/>
        <v>0</v>
      </c>
    </row>
    <row r="28" spans="1:16" x14ac:dyDescent="0.35">
      <c r="A28">
        <v>45</v>
      </c>
      <c r="B28" t="s">
        <v>72</v>
      </c>
      <c r="C28" s="4">
        <f>8.19+27/454</f>
        <v>8.2494713656387653</v>
      </c>
      <c r="D28" s="4">
        <v>5.9999837926490001</v>
      </c>
      <c r="E28" s="4">
        <f t="shared" si="3"/>
        <v>49.496694491754603</v>
      </c>
      <c r="F28" s="5">
        <v>41086</v>
      </c>
      <c r="G28" t="s">
        <v>70</v>
      </c>
      <c r="H28" t="s">
        <v>22</v>
      </c>
      <c r="I28" t="s">
        <v>25</v>
      </c>
      <c r="J28" t="s">
        <v>16</v>
      </c>
      <c r="K28" s="4">
        <f t="shared" si="4"/>
        <v>3745.2599999999993</v>
      </c>
      <c r="L28">
        <f t="shared" si="5"/>
        <v>0</v>
      </c>
    </row>
    <row r="29" spans="1:16" x14ac:dyDescent="0.35">
      <c r="A29">
        <v>46</v>
      </c>
      <c r="B29" t="s">
        <v>73</v>
      </c>
      <c r="C29" s="4">
        <f>6-29/454</f>
        <v>5.9361233480176212</v>
      </c>
      <c r="D29" s="4">
        <v>8.9999983685919993</v>
      </c>
      <c r="E29" s="4">
        <f t="shared" si="3"/>
        <v>53.425100447919469</v>
      </c>
      <c r="F29" s="5">
        <v>41093</v>
      </c>
      <c r="G29" t="s">
        <v>50</v>
      </c>
      <c r="H29" t="s">
        <v>47</v>
      </c>
      <c r="I29" t="s">
        <v>51</v>
      </c>
      <c r="J29" t="s">
        <v>16</v>
      </c>
      <c r="K29" s="4">
        <f t="shared" si="4"/>
        <v>2695</v>
      </c>
      <c r="L29">
        <f t="shared" si="5"/>
        <v>0</v>
      </c>
    </row>
    <row r="30" spans="1:16" x14ac:dyDescent="0.35">
      <c r="A30">
        <v>47</v>
      </c>
      <c r="B30" t="s">
        <v>74</v>
      </c>
      <c r="C30" s="4">
        <v>1</v>
      </c>
      <c r="D30" s="4">
        <v>38.999962691074003</v>
      </c>
      <c r="E30" s="4">
        <f t="shared" si="3"/>
        <v>38.999962691074003</v>
      </c>
      <c r="F30" s="5">
        <v>40589</v>
      </c>
      <c r="G30" t="s">
        <v>13</v>
      </c>
      <c r="H30" t="s">
        <v>47</v>
      </c>
      <c r="I30" t="s">
        <v>51</v>
      </c>
      <c r="J30" t="s">
        <v>16</v>
      </c>
      <c r="K30" s="4">
        <f t="shared" si="4"/>
        <v>454</v>
      </c>
      <c r="L30">
        <f t="shared" si="5"/>
        <v>0</v>
      </c>
    </row>
    <row r="31" spans="1:16" x14ac:dyDescent="0.35">
      <c r="A31">
        <v>48</v>
      </c>
      <c r="B31" t="s">
        <v>75</v>
      </c>
      <c r="C31" s="4">
        <f>4.41577500521007-(738-220-288-254)/454</f>
        <v>4.4686384413334181</v>
      </c>
      <c r="D31" s="4">
        <v>7.1999624074839996</v>
      </c>
      <c r="E31" s="4">
        <f t="shared" si="3"/>
        <v>32.174028790238502</v>
      </c>
      <c r="F31" s="5">
        <v>41091</v>
      </c>
      <c r="G31" t="s">
        <v>27</v>
      </c>
      <c r="H31" t="s">
        <v>76</v>
      </c>
      <c r="I31" t="s">
        <v>25</v>
      </c>
      <c r="J31" t="s">
        <v>9</v>
      </c>
      <c r="K31" s="4">
        <f t="shared" si="4"/>
        <v>2028.7618523653719</v>
      </c>
      <c r="L31">
        <f t="shared" si="5"/>
        <v>0</v>
      </c>
    </row>
    <row r="32" spans="1:16" x14ac:dyDescent="0.35">
      <c r="A32">
        <v>49</v>
      </c>
      <c r="B32" t="s">
        <v>77</v>
      </c>
      <c r="C32" s="4">
        <f>5+44/454</f>
        <v>5.0969162995594717</v>
      </c>
      <c r="D32" s="4">
        <v>9.8999709899090007</v>
      </c>
      <c r="E32" s="4">
        <f t="shared" si="3"/>
        <v>50.459323503633101</v>
      </c>
      <c r="F32" s="5">
        <v>41091</v>
      </c>
      <c r="G32" t="s">
        <v>78</v>
      </c>
      <c r="H32" t="s">
        <v>22</v>
      </c>
      <c r="I32" t="s">
        <v>25</v>
      </c>
      <c r="J32" t="s">
        <v>16</v>
      </c>
      <c r="K32" s="4">
        <f t="shared" si="4"/>
        <v>2314</v>
      </c>
      <c r="L32">
        <f t="shared" si="5"/>
        <v>0</v>
      </c>
    </row>
    <row r="33" spans="1:12" x14ac:dyDescent="0.35">
      <c r="A33">
        <v>50</v>
      </c>
      <c r="B33" t="s">
        <v>79</v>
      </c>
      <c r="C33" s="4">
        <f>10-(2*212)/454 + 54/454</f>
        <v>9.1850220264317191</v>
      </c>
      <c r="D33" s="4">
        <v>5.25</v>
      </c>
      <c r="E33" s="4">
        <f t="shared" si="3"/>
        <v>48.221365638766528</v>
      </c>
      <c r="F33" s="5">
        <v>40965</v>
      </c>
      <c r="G33" t="s">
        <v>60</v>
      </c>
      <c r="H33" t="s">
        <v>22</v>
      </c>
      <c r="I33" t="s">
        <v>25</v>
      </c>
      <c r="J33" t="s">
        <v>16</v>
      </c>
      <c r="K33" s="4">
        <f t="shared" si="4"/>
        <v>4170</v>
      </c>
      <c r="L33">
        <f t="shared" si="5"/>
        <v>0</v>
      </c>
    </row>
    <row r="34" spans="1:12" x14ac:dyDescent="0.35">
      <c r="A34">
        <f t="shared" ref="A34:A73" si="6">1+A33</f>
        <v>51</v>
      </c>
      <c r="B34" t="s">
        <v>80</v>
      </c>
      <c r="C34" s="4">
        <f>3+(136+55-194)/454</f>
        <v>2.9933920704845813</v>
      </c>
      <c r="D34" s="4">
        <v>22</v>
      </c>
      <c r="E34" s="4">
        <f t="shared" si="3"/>
        <v>65.854625550660785</v>
      </c>
      <c r="F34" s="5">
        <v>41086</v>
      </c>
      <c r="G34" t="s">
        <v>70</v>
      </c>
      <c r="H34" t="s">
        <v>47</v>
      </c>
      <c r="I34" t="s">
        <v>51</v>
      </c>
      <c r="J34" t="s">
        <v>16</v>
      </c>
      <c r="K34" s="4">
        <f t="shared" si="4"/>
        <v>1359</v>
      </c>
      <c r="L34">
        <f t="shared" si="5"/>
        <v>0</v>
      </c>
    </row>
    <row r="35" spans="1:12" x14ac:dyDescent="0.35">
      <c r="A35">
        <f t="shared" si="6"/>
        <v>52</v>
      </c>
      <c r="B35" t="s">
        <v>81</v>
      </c>
      <c r="C35" s="4">
        <f>4-271/454</f>
        <v>3.4030837004405288</v>
      </c>
      <c r="D35" s="4">
        <v>8</v>
      </c>
      <c r="E35" s="4">
        <f t="shared" si="3"/>
        <v>27.22466960352423</v>
      </c>
      <c r="F35" s="5">
        <v>41137</v>
      </c>
      <c r="G35" t="s">
        <v>13</v>
      </c>
      <c r="H35" t="s">
        <v>30</v>
      </c>
      <c r="I35" t="s">
        <v>64</v>
      </c>
      <c r="J35" t="s">
        <v>16</v>
      </c>
      <c r="K35" s="4">
        <f t="shared" si="4"/>
        <v>1545</v>
      </c>
      <c r="L35">
        <f t="shared" si="5"/>
        <v>0</v>
      </c>
    </row>
    <row r="36" spans="1:12" x14ac:dyDescent="0.35">
      <c r="A36">
        <f t="shared" si="6"/>
        <v>53</v>
      </c>
      <c r="B36" t="s">
        <v>82</v>
      </c>
      <c r="C36" s="4">
        <f>3+(237-430)/454</f>
        <v>2.5748898678414096</v>
      </c>
      <c r="D36" s="4">
        <v>8.5</v>
      </c>
      <c r="E36" s="4">
        <f t="shared" si="3"/>
        <v>21.88656387665198</v>
      </c>
      <c r="F36" s="5">
        <v>41137</v>
      </c>
      <c r="G36" t="s">
        <v>13</v>
      </c>
      <c r="H36" t="s">
        <v>83</v>
      </c>
      <c r="I36" t="s">
        <v>84</v>
      </c>
      <c r="J36" t="s">
        <v>16</v>
      </c>
      <c r="K36" s="4">
        <f t="shared" si="4"/>
        <v>1169</v>
      </c>
      <c r="L36">
        <f t="shared" si="5"/>
        <v>0</v>
      </c>
    </row>
    <row r="37" spans="1:12" x14ac:dyDescent="0.35">
      <c r="A37">
        <f t="shared" si="6"/>
        <v>54</v>
      </c>
      <c r="B37" t="s">
        <v>85</v>
      </c>
      <c r="C37" s="4">
        <f>4-(47+18)/454</f>
        <v>3.856828193832599</v>
      </c>
      <c r="D37" s="4">
        <v>8.5</v>
      </c>
      <c r="E37" s="4">
        <f t="shared" si="3"/>
        <v>32.783039647577091</v>
      </c>
      <c r="F37" s="5">
        <v>41137</v>
      </c>
      <c r="G37" t="s">
        <v>13</v>
      </c>
      <c r="H37" t="s">
        <v>47</v>
      </c>
      <c r="I37" t="s">
        <v>68</v>
      </c>
      <c r="J37" t="s">
        <v>16</v>
      </c>
      <c r="K37" s="4">
        <f>454*C37</f>
        <v>1751</v>
      </c>
      <c r="L37">
        <f t="shared" si="5"/>
        <v>0</v>
      </c>
    </row>
    <row r="38" spans="1:12" x14ac:dyDescent="0.35">
      <c r="A38">
        <f t="shared" si="6"/>
        <v>55</v>
      </c>
      <c r="B38" t="s">
        <v>86</v>
      </c>
      <c r="C38" s="4">
        <f>5-71/454</f>
        <v>4.8436123348017617</v>
      </c>
      <c r="D38" s="4">
        <v>7.3</v>
      </c>
      <c r="E38" s="4">
        <f t="shared" si="3"/>
        <v>35.358370044052862</v>
      </c>
      <c r="F38" s="5">
        <v>41194</v>
      </c>
      <c r="G38" t="s">
        <v>13</v>
      </c>
      <c r="H38" t="s">
        <v>34</v>
      </c>
      <c r="I38" t="s">
        <v>87</v>
      </c>
      <c r="J38" t="s">
        <v>16</v>
      </c>
      <c r="K38" s="4">
        <f t="shared" si="4"/>
        <v>2199</v>
      </c>
      <c r="L38">
        <f t="shared" si="5"/>
        <v>0</v>
      </c>
    </row>
    <row r="39" spans="1:12" x14ac:dyDescent="0.35">
      <c r="A39">
        <f t="shared" si="6"/>
        <v>56</v>
      </c>
      <c r="B39" t="s">
        <v>88</v>
      </c>
      <c r="C39" s="4">
        <f>4+1*(11/16)-(312+1362+227)/454</f>
        <v>0.50027533039647576</v>
      </c>
      <c r="D39" s="4">
        <v>4</v>
      </c>
      <c r="E39" s="4">
        <f t="shared" si="3"/>
        <v>2.001101321585903</v>
      </c>
      <c r="F39" s="5">
        <v>41259</v>
      </c>
      <c r="G39" t="s">
        <v>13</v>
      </c>
      <c r="H39" t="s">
        <v>83</v>
      </c>
      <c r="I39" t="s">
        <v>84</v>
      </c>
      <c r="J39" t="s">
        <v>16</v>
      </c>
      <c r="K39" s="4">
        <f t="shared" si="4"/>
        <v>227.125</v>
      </c>
      <c r="L39">
        <f t="shared" si="5"/>
        <v>0</v>
      </c>
    </row>
    <row r="40" spans="1:12" x14ac:dyDescent="0.35">
      <c r="A40">
        <f t="shared" si="6"/>
        <v>57</v>
      </c>
      <c r="B40" t="s">
        <v>89</v>
      </c>
      <c r="C40" s="4">
        <f>3*(2*212)/454</f>
        <v>2.8017621145374449</v>
      </c>
      <c r="D40" s="4">
        <v>5.25</v>
      </c>
      <c r="E40" s="4">
        <f t="shared" si="3"/>
        <v>14.709251101321586</v>
      </c>
      <c r="F40" s="5">
        <v>41313</v>
      </c>
      <c r="G40" t="s">
        <v>90</v>
      </c>
      <c r="H40" t="s">
        <v>22</v>
      </c>
      <c r="I40" t="s">
        <v>25</v>
      </c>
      <c r="J40" t="s">
        <v>16</v>
      </c>
      <c r="K40" s="4">
        <f t="shared" si="4"/>
        <v>1272</v>
      </c>
      <c r="L40">
        <f t="shared" si="5"/>
        <v>0</v>
      </c>
    </row>
    <row r="41" spans="1:12" x14ac:dyDescent="0.35">
      <c r="A41">
        <f t="shared" si="6"/>
        <v>58</v>
      </c>
      <c r="B41" t="s">
        <v>91</v>
      </c>
      <c r="C41" s="4">
        <f>5+8/454</f>
        <v>5.0176211453744495</v>
      </c>
      <c r="D41" s="4">
        <v>7</v>
      </c>
      <c r="E41" s="4">
        <f t="shared" si="3"/>
        <v>35.123348017621147</v>
      </c>
      <c r="F41" s="5">
        <v>41290</v>
      </c>
      <c r="G41" t="s">
        <v>13</v>
      </c>
      <c r="H41" t="s">
        <v>47</v>
      </c>
      <c r="I41" t="s">
        <v>92</v>
      </c>
      <c r="J41" t="s">
        <v>16</v>
      </c>
      <c r="K41" s="4">
        <f t="shared" si="4"/>
        <v>2278</v>
      </c>
      <c r="L41">
        <f t="shared" si="5"/>
        <v>0</v>
      </c>
    </row>
    <row r="42" spans="1:12" x14ac:dyDescent="0.35">
      <c r="A42">
        <f t="shared" si="6"/>
        <v>59</v>
      </c>
      <c r="B42" t="s">
        <v>93</v>
      </c>
      <c r="C42" s="4">
        <f>5-63/454</f>
        <v>4.8612334801762112</v>
      </c>
      <c r="D42" s="4">
        <v>7</v>
      </c>
      <c r="E42" s="4">
        <f t="shared" si="3"/>
        <v>34.028634361233479</v>
      </c>
      <c r="F42" s="5">
        <v>41259</v>
      </c>
      <c r="G42" t="s">
        <v>13</v>
      </c>
      <c r="H42" t="s">
        <v>47</v>
      </c>
      <c r="I42" t="s">
        <v>68</v>
      </c>
      <c r="J42" t="s">
        <v>16</v>
      </c>
      <c r="K42" s="4">
        <f t="shared" si="4"/>
        <v>2207</v>
      </c>
      <c r="L42">
        <f t="shared" si="5"/>
        <v>0</v>
      </c>
    </row>
    <row r="43" spans="1:12" x14ac:dyDescent="0.35">
      <c r="A43">
        <f t="shared" si="6"/>
        <v>60</v>
      </c>
      <c r="B43" t="s">
        <v>94</v>
      </c>
      <c r="C43" s="4">
        <f>5-127/454</f>
        <v>4.7202643171806171</v>
      </c>
      <c r="D43" s="4">
        <v>7</v>
      </c>
      <c r="E43" s="4">
        <f t="shared" si="3"/>
        <v>33.041850220264323</v>
      </c>
      <c r="F43" s="5">
        <v>41290</v>
      </c>
      <c r="G43" t="s">
        <v>13</v>
      </c>
      <c r="H43" t="s">
        <v>47</v>
      </c>
      <c r="I43" t="s">
        <v>19</v>
      </c>
      <c r="J43" t="s">
        <v>16</v>
      </c>
      <c r="K43" s="4">
        <f t="shared" si="4"/>
        <v>2143</v>
      </c>
      <c r="L43">
        <f t="shared" si="5"/>
        <v>0</v>
      </c>
    </row>
    <row r="44" spans="1:12" x14ac:dyDescent="0.35">
      <c r="A44">
        <f t="shared" si="6"/>
        <v>61</v>
      </c>
      <c r="B44" t="s">
        <v>95</v>
      </c>
      <c r="C44" s="4">
        <f>5-(105+465)/454</f>
        <v>3.7444933920704848</v>
      </c>
      <c r="D44" s="4">
        <v>8</v>
      </c>
      <c r="E44" s="4">
        <f t="shared" si="3"/>
        <v>29.955947136563879</v>
      </c>
      <c r="F44" s="5">
        <v>41228</v>
      </c>
      <c r="G44" t="s">
        <v>27</v>
      </c>
      <c r="H44" t="s">
        <v>96</v>
      </c>
      <c r="I44" t="s">
        <v>43</v>
      </c>
      <c r="J44" t="s">
        <v>16</v>
      </c>
      <c r="K44" s="4">
        <f t="shared" si="4"/>
        <v>1700</v>
      </c>
      <c r="L44">
        <f t="shared" si="5"/>
        <v>0</v>
      </c>
    </row>
    <row r="45" spans="1:12" x14ac:dyDescent="0.35">
      <c r="A45">
        <f t="shared" si="6"/>
        <v>62</v>
      </c>
      <c r="B45" t="s">
        <v>97</v>
      </c>
      <c r="C45" s="4">
        <f>5-(215+1125+2*465)/454</f>
        <v>0</v>
      </c>
      <c r="D45" s="4">
        <v>8</v>
      </c>
      <c r="E45" s="4">
        <f t="shared" si="3"/>
        <v>0</v>
      </c>
      <c r="F45" s="5">
        <v>41228</v>
      </c>
      <c r="G45" t="s">
        <v>27</v>
      </c>
      <c r="H45" t="s">
        <v>98</v>
      </c>
      <c r="I45" t="s">
        <v>43</v>
      </c>
      <c r="J45" t="s">
        <v>16</v>
      </c>
      <c r="K45" s="4">
        <f t="shared" si="4"/>
        <v>0</v>
      </c>
      <c r="L45">
        <f t="shared" si="5"/>
        <v>0</v>
      </c>
    </row>
    <row r="46" spans="1:12" x14ac:dyDescent="0.35">
      <c r="A46">
        <f t="shared" si="6"/>
        <v>63</v>
      </c>
      <c r="B46" t="s">
        <v>38</v>
      </c>
      <c r="C46" s="4">
        <f>5-(2*465-153)/454</f>
        <v>3.2885462555066081</v>
      </c>
      <c r="D46" s="4">
        <v>20</v>
      </c>
      <c r="E46" s="4">
        <f t="shared" si="3"/>
        <v>65.770925110132168</v>
      </c>
      <c r="F46" s="5">
        <v>41336</v>
      </c>
      <c r="G46" t="s">
        <v>13</v>
      </c>
      <c r="H46" t="s">
        <v>32</v>
      </c>
      <c r="I46" t="s">
        <v>32</v>
      </c>
      <c r="J46" t="s">
        <v>16</v>
      </c>
      <c r="K46" s="4">
        <f t="shared" si="4"/>
        <v>1493</v>
      </c>
      <c r="L46">
        <f t="shared" si="5"/>
        <v>0</v>
      </c>
    </row>
    <row r="47" spans="1:12" x14ac:dyDescent="0.35">
      <c r="A47">
        <f t="shared" si="6"/>
        <v>64</v>
      </c>
      <c r="B47" t="s">
        <v>99</v>
      </c>
      <c r="C47" s="4">
        <f>5+(54-21)/454</f>
        <v>5.0726872246696031</v>
      </c>
      <c r="D47" s="4">
        <v>7.5</v>
      </c>
      <c r="E47" s="4">
        <f t="shared" si="3"/>
        <v>38.045154185022021</v>
      </c>
      <c r="F47" s="5">
        <v>41359</v>
      </c>
      <c r="G47" t="s">
        <v>13</v>
      </c>
      <c r="H47" t="s">
        <v>22</v>
      </c>
      <c r="I47" t="s">
        <v>71</v>
      </c>
      <c r="J47" t="s">
        <v>16</v>
      </c>
      <c r="K47" s="4">
        <f t="shared" si="4"/>
        <v>2303</v>
      </c>
      <c r="L47">
        <f t="shared" si="5"/>
        <v>0</v>
      </c>
    </row>
    <row r="48" spans="1:12" x14ac:dyDescent="0.35">
      <c r="A48">
        <f t="shared" si="6"/>
        <v>65</v>
      </c>
      <c r="B48" t="s">
        <v>100</v>
      </c>
      <c r="C48" s="4">
        <f>5+10/454</f>
        <v>5.0220264317180616</v>
      </c>
      <c r="D48" s="4">
        <v>6.6</v>
      </c>
      <c r="E48" s="4">
        <f t="shared" si="3"/>
        <v>33.145374449339208</v>
      </c>
      <c r="F48" s="5">
        <v>41401</v>
      </c>
      <c r="G48" t="s">
        <v>13</v>
      </c>
      <c r="H48" t="s">
        <v>30</v>
      </c>
      <c r="I48" t="s">
        <v>37</v>
      </c>
      <c r="J48" t="s">
        <v>9</v>
      </c>
      <c r="K48" s="4">
        <f t="shared" si="4"/>
        <v>2280</v>
      </c>
      <c r="L48">
        <f t="shared" si="5"/>
        <v>0</v>
      </c>
    </row>
    <row r="49" spans="1:15" x14ac:dyDescent="0.35">
      <c r="A49">
        <f t="shared" si="6"/>
        <v>66</v>
      </c>
      <c r="B49" t="s">
        <v>101</v>
      </c>
      <c r="C49" s="4">
        <f>5-180/454</f>
        <v>4.6035242290748899</v>
      </c>
      <c r="D49" s="4">
        <v>6.6</v>
      </c>
      <c r="E49" s="4">
        <f t="shared" si="3"/>
        <v>30.383259911894271</v>
      </c>
      <c r="F49" s="5">
        <v>41437</v>
      </c>
      <c r="G49" t="s">
        <v>13</v>
      </c>
      <c r="H49" t="s">
        <v>47</v>
      </c>
      <c r="I49" t="s">
        <v>102</v>
      </c>
      <c r="J49" t="s">
        <v>16</v>
      </c>
      <c r="K49" s="4">
        <f t="shared" si="4"/>
        <v>2090</v>
      </c>
      <c r="L49">
        <f t="shared" si="5"/>
        <v>0</v>
      </c>
    </row>
    <row r="50" spans="1:15" x14ac:dyDescent="0.35">
      <c r="A50">
        <f t="shared" si="6"/>
        <v>67</v>
      </c>
      <c r="B50" t="s">
        <v>103</v>
      </c>
      <c r="C50" s="4">
        <f>5-80/454</f>
        <v>4.823788546255507</v>
      </c>
      <c r="D50" s="4">
        <v>6.6</v>
      </c>
      <c r="E50" s="4">
        <f t="shared" si="3"/>
        <v>31.837004405286343</v>
      </c>
      <c r="F50" s="5">
        <v>41452</v>
      </c>
      <c r="G50" t="s">
        <v>13</v>
      </c>
      <c r="H50" t="s">
        <v>34</v>
      </c>
      <c r="I50" t="s">
        <v>104</v>
      </c>
      <c r="J50" t="s">
        <v>16</v>
      </c>
      <c r="K50" s="4">
        <f t="shared" si="4"/>
        <v>2190</v>
      </c>
      <c r="L50">
        <f t="shared" si="5"/>
        <v>0</v>
      </c>
    </row>
    <row r="51" spans="1:15" x14ac:dyDescent="0.35">
      <c r="A51">
        <f t="shared" si="6"/>
        <v>68</v>
      </c>
      <c r="B51" t="s">
        <v>105</v>
      </c>
      <c r="C51" s="4">
        <f>5-140/454</f>
        <v>4.6916299559471364</v>
      </c>
      <c r="D51" s="4">
        <v>8</v>
      </c>
      <c r="E51" s="4">
        <f t="shared" si="3"/>
        <v>37.533039647577091</v>
      </c>
      <c r="F51" s="5">
        <v>41463</v>
      </c>
      <c r="G51" t="s">
        <v>27</v>
      </c>
      <c r="H51" t="s">
        <v>45</v>
      </c>
      <c r="I51" t="s">
        <v>43</v>
      </c>
      <c r="J51" t="s">
        <v>16</v>
      </c>
      <c r="K51" s="4">
        <f t="shared" si="4"/>
        <v>2130</v>
      </c>
      <c r="L51">
        <f t="shared" si="5"/>
        <v>0</v>
      </c>
    </row>
    <row r="52" spans="1:15" x14ac:dyDescent="0.35">
      <c r="A52">
        <f t="shared" si="6"/>
        <v>69</v>
      </c>
      <c r="B52" t="s">
        <v>106</v>
      </c>
      <c r="C52" s="4">
        <v>1</v>
      </c>
      <c r="D52" s="4">
        <v>6</v>
      </c>
      <c r="E52" s="4">
        <f t="shared" si="3"/>
        <v>6</v>
      </c>
      <c r="F52" s="5">
        <v>41463</v>
      </c>
      <c r="G52" t="s">
        <v>27</v>
      </c>
      <c r="H52" t="s">
        <v>55</v>
      </c>
      <c r="I52" t="s">
        <v>58</v>
      </c>
      <c r="J52" t="s">
        <v>16</v>
      </c>
      <c r="K52" s="4">
        <f t="shared" si="4"/>
        <v>454</v>
      </c>
      <c r="L52">
        <f t="shared" si="5"/>
        <v>0</v>
      </c>
    </row>
    <row r="53" spans="1:15" x14ac:dyDescent="0.35">
      <c r="A53">
        <f t="shared" si="6"/>
        <v>70</v>
      </c>
      <c r="B53" t="s">
        <v>107</v>
      </c>
      <c r="C53" s="4">
        <f>2-(444-0)/454</f>
        <v>1.0220264317180616</v>
      </c>
      <c r="D53" s="4">
        <v>6</v>
      </c>
      <c r="E53" s="4">
        <f t="shared" si="3"/>
        <v>6.1321585903083697</v>
      </c>
      <c r="F53" s="5">
        <v>41463</v>
      </c>
      <c r="G53" t="s">
        <v>27</v>
      </c>
      <c r="H53" t="s">
        <v>55</v>
      </c>
      <c r="I53" t="s">
        <v>58</v>
      </c>
      <c r="J53" t="s">
        <v>16</v>
      </c>
      <c r="K53" s="4">
        <f t="shared" si="4"/>
        <v>464</v>
      </c>
      <c r="L53">
        <f t="shared" si="5"/>
        <v>0</v>
      </c>
    </row>
    <row r="54" spans="1:15" x14ac:dyDescent="0.35">
      <c r="A54">
        <f t="shared" si="6"/>
        <v>71</v>
      </c>
      <c r="B54" t="s">
        <v>108</v>
      </c>
      <c r="C54" s="4">
        <f>5+70/454</f>
        <v>5.1541850220264314</v>
      </c>
      <c r="D54" s="4">
        <v>6.4</v>
      </c>
      <c r="E54" s="4">
        <f t="shared" si="3"/>
        <v>32.986784140969164</v>
      </c>
      <c r="F54" s="5">
        <v>41474</v>
      </c>
      <c r="G54" t="s">
        <v>13</v>
      </c>
      <c r="H54" t="s">
        <v>22</v>
      </c>
      <c r="I54" t="s">
        <v>25</v>
      </c>
      <c r="J54" t="s">
        <v>16</v>
      </c>
      <c r="K54" s="4">
        <f t="shared" si="4"/>
        <v>2340</v>
      </c>
      <c r="L54">
        <f t="shared" si="5"/>
        <v>0</v>
      </c>
    </row>
    <row r="55" spans="1:15" x14ac:dyDescent="0.35">
      <c r="A55">
        <f t="shared" si="6"/>
        <v>72</v>
      </c>
      <c r="B55" t="s">
        <v>109</v>
      </c>
      <c r="C55" s="4">
        <f>5+70/454</f>
        <v>5.1541850220264314</v>
      </c>
      <c r="D55" s="4">
        <v>10</v>
      </c>
      <c r="E55" s="4">
        <f t="shared" si="3"/>
        <v>51.541850220264315</v>
      </c>
      <c r="F55" s="5">
        <v>41502</v>
      </c>
      <c r="G55" t="s">
        <v>13</v>
      </c>
      <c r="H55" t="s">
        <v>45</v>
      </c>
      <c r="I55" t="s">
        <v>43</v>
      </c>
      <c r="J55" t="s">
        <v>16</v>
      </c>
      <c r="K55" s="4">
        <f t="shared" si="4"/>
        <v>2340</v>
      </c>
      <c r="L55">
        <f t="shared" si="5"/>
        <v>0</v>
      </c>
    </row>
    <row r="56" spans="1:15" x14ac:dyDescent="0.35">
      <c r="A56">
        <f t="shared" si="6"/>
        <v>73</v>
      </c>
      <c r="B56" t="s">
        <v>110</v>
      </c>
      <c r="C56" s="4">
        <f>5-140/454</f>
        <v>4.6916299559471364</v>
      </c>
      <c r="D56" s="4">
        <v>7</v>
      </c>
      <c r="E56" s="4">
        <f t="shared" si="3"/>
        <v>32.841409691629956</v>
      </c>
      <c r="F56" s="5">
        <v>41531</v>
      </c>
      <c r="G56" t="s">
        <v>13</v>
      </c>
      <c r="H56" t="s">
        <v>47</v>
      </c>
      <c r="I56" t="s">
        <v>92</v>
      </c>
      <c r="J56" t="s">
        <v>16</v>
      </c>
      <c r="K56" s="4">
        <f t="shared" si="4"/>
        <v>2130</v>
      </c>
      <c r="L56">
        <f t="shared" si="5"/>
        <v>0</v>
      </c>
    </row>
    <row r="57" spans="1:15" x14ac:dyDescent="0.35">
      <c r="A57">
        <f t="shared" si="6"/>
        <v>74</v>
      </c>
      <c r="B57" t="s">
        <v>111</v>
      </c>
      <c r="C57" s="4">
        <f>5-81/454</f>
        <v>4.8215859030837001</v>
      </c>
      <c r="D57" s="4">
        <v>6.5</v>
      </c>
      <c r="E57" s="4">
        <f t="shared" si="3"/>
        <v>31.340308370044049</v>
      </c>
      <c r="F57" s="5">
        <v>41558</v>
      </c>
      <c r="G57" t="s">
        <v>13</v>
      </c>
      <c r="H57" t="s">
        <v>34</v>
      </c>
      <c r="I57" t="s">
        <v>87</v>
      </c>
      <c r="J57" t="s">
        <v>16</v>
      </c>
      <c r="K57" s="4">
        <f t="shared" si="4"/>
        <v>2189</v>
      </c>
      <c r="L57">
        <f t="shared" si="5"/>
        <v>0</v>
      </c>
    </row>
    <row r="58" spans="1:15" x14ac:dyDescent="0.35">
      <c r="A58">
        <f t="shared" si="6"/>
        <v>75</v>
      </c>
      <c r="B58" t="s">
        <v>112</v>
      </c>
      <c r="C58" s="4">
        <f>5-260/454</f>
        <v>4.427312775330396</v>
      </c>
      <c r="D58" s="4">
        <v>6.5</v>
      </c>
      <c r="E58" s="4">
        <f t="shared" si="3"/>
        <v>28.777533039647572</v>
      </c>
      <c r="F58" s="5">
        <v>41558</v>
      </c>
      <c r="G58" t="s">
        <v>13</v>
      </c>
      <c r="H58" t="s">
        <v>47</v>
      </c>
      <c r="I58" t="s">
        <v>48</v>
      </c>
      <c r="J58" t="s">
        <v>16</v>
      </c>
      <c r="K58" s="4">
        <f t="shared" si="4"/>
        <v>2009.9999999999998</v>
      </c>
      <c r="L58">
        <f t="shared" si="5"/>
        <v>0</v>
      </c>
    </row>
    <row r="59" spans="1:15" x14ac:dyDescent="0.35">
      <c r="A59">
        <f t="shared" si="6"/>
        <v>76</v>
      </c>
      <c r="B59" t="s">
        <v>113</v>
      </c>
      <c r="C59" s="4">
        <f>5-45/454</f>
        <v>4.9008810572687223</v>
      </c>
      <c r="D59" s="4">
        <v>8</v>
      </c>
      <c r="E59" s="4">
        <f t="shared" si="3"/>
        <v>39.207048458149778</v>
      </c>
      <c r="F59" s="5">
        <v>41572</v>
      </c>
      <c r="G59" t="s">
        <v>50</v>
      </c>
      <c r="H59" t="s">
        <v>22</v>
      </c>
      <c r="I59" t="s">
        <v>25</v>
      </c>
      <c r="J59" t="s">
        <v>16</v>
      </c>
      <c r="K59" s="4">
        <f t="shared" si="4"/>
        <v>2225</v>
      </c>
      <c r="L59">
        <f t="shared" si="5"/>
        <v>0</v>
      </c>
    </row>
    <row r="60" spans="1:15" x14ac:dyDescent="0.35">
      <c r="A60">
        <f t="shared" si="6"/>
        <v>77</v>
      </c>
      <c r="B60" t="s">
        <v>114</v>
      </c>
      <c r="C60" s="4">
        <f>5-137/454</f>
        <v>4.6982378854625555</v>
      </c>
      <c r="D60" s="4">
        <v>6</v>
      </c>
      <c r="E60" s="4">
        <f t="shared" si="3"/>
        <v>28.189427312775333</v>
      </c>
      <c r="F60" s="5">
        <v>41600</v>
      </c>
      <c r="G60" t="s">
        <v>13</v>
      </c>
      <c r="H60" t="s">
        <v>34</v>
      </c>
      <c r="I60" t="s">
        <v>35</v>
      </c>
      <c r="J60" t="s">
        <v>16</v>
      </c>
      <c r="K60" s="4">
        <f t="shared" si="4"/>
        <v>2133</v>
      </c>
      <c r="L60">
        <f t="shared" si="5"/>
        <v>0</v>
      </c>
    </row>
    <row r="61" spans="1:15" x14ac:dyDescent="0.35">
      <c r="A61">
        <f t="shared" si="6"/>
        <v>78</v>
      </c>
      <c r="B61" t="s">
        <v>115</v>
      </c>
      <c r="C61" s="4">
        <f>2+2/454</f>
        <v>2.0044052863436121</v>
      </c>
      <c r="D61" s="4">
        <v>7.5</v>
      </c>
      <c r="E61" s="4">
        <f t="shared" si="3"/>
        <v>15.033039647577091</v>
      </c>
      <c r="F61" s="5">
        <v>41635</v>
      </c>
      <c r="G61" t="s">
        <v>50</v>
      </c>
      <c r="H61" t="s">
        <v>47</v>
      </c>
      <c r="I61" t="s">
        <v>48</v>
      </c>
      <c r="J61" t="s">
        <v>16</v>
      </c>
      <c r="K61" s="4">
        <f t="shared" si="4"/>
        <v>909.99999999999989</v>
      </c>
      <c r="L61">
        <f t="shared" si="5"/>
        <v>0</v>
      </c>
    </row>
    <row r="62" spans="1:15" x14ac:dyDescent="0.35">
      <c r="A62">
        <f t="shared" si="6"/>
        <v>79</v>
      </c>
      <c r="B62" t="s">
        <v>116</v>
      </c>
      <c r="C62" s="4">
        <f>6-770/454</f>
        <v>4.3039647577092506</v>
      </c>
      <c r="D62" s="4">
        <v>8.5</v>
      </c>
      <c r="E62" s="4">
        <f t="shared" si="3"/>
        <v>36.583700440528631</v>
      </c>
      <c r="F62" s="5">
        <v>41635</v>
      </c>
      <c r="G62" t="s">
        <v>50</v>
      </c>
      <c r="H62" t="s">
        <v>22</v>
      </c>
      <c r="I62" t="s">
        <v>23</v>
      </c>
      <c r="J62" t="s">
        <v>16</v>
      </c>
      <c r="K62" s="4">
        <f t="shared" si="4"/>
        <v>1953.9999999999998</v>
      </c>
      <c r="L62">
        <f t="shared" si="5"/>
        <v>0</v>
      </c>
    </row>
    <row r="63" spans="1:15" x14ac:dyDescent="0.35">
      <c r="A63">
        <f t="shared" si="6"/>
        <v>80</v>
      </c>
      <c r="B63" t="s">
        <v>117</v>
      </c>
      <c r="C63" s="4">
        <f>5-71/454</f>
        <v>4.8436123348017617</v>
      </c>
      <c r="D63" s="4">
        <v>18</v>
      </c>
      <c r="E63" s="4">
        <f t="shared" si="3"/>
        <v>87.18502202643171</v>
      </c>
      <c r="F63" s="5">
        <v>41635</v>
      </c>
      <c r="G63" t="s">
        <v>13</v>
      </c>
      <c r="H63" t="s">
        <v>45</v>
      </c>
      <c r="I63" t="s">
        <v>43</v>
      </c>
      <c r="J63" t="s">
        <v>16</v>
      </c>
      <c r="K63" s="4">
        <f t="shared" si="4"/>
        <v>2199</v>
      </c>
      <c r="L63">
        <f t="shared" si="5"/>
        <v>0</v>
      </c>
    </row>
    <row r="64" spans="1:15" x14ac:dyDescent="0.35">
      <c r="A64">
        <f t="shared" si="6"/>
        <v>81</v>
      </c>
      <c r="B64" t="s">
        <v>118</v>
      </c>
      <c r="C64" s="4">
        <f>5+75/454</f>
        <v>5.1651982378854626</v>
      </c>
      <c r="D64" s="4">
        <v>5.5</v>
      </c>
      <c r="E64" s="4">
        <f t="shared" si="3"/>
        <v>28.408590308370044</v>
      </c>
      <c r="F64" s="5">
        <v>41728</v>
      </c>
      <c r="G64" t="s">
        <v>13</v>
      </c>
      <c r="H64" t="s">
        <v>30</v>
      </c>
      <c r="I64" t="s">
        <v>119</v>
      </c>
      <c r="J64" t="s">
        <v>16</v>
      </c>
      <c r="K64" s="4">
        <f t="shared" si="4"/>
        <v>2345</v>
      </c>
      <c r="L64">
        <f t="shared" si="5"/>
        <v>0</v>
      </c>
      <c r="M64">
        <v>230</v>
      </c>
      <c r="N64">
        <f>(K64 - 205)/M64</f>
        <v>9.304347826086957</v>
      </c>
      <c r="O64">
        <f>K64/215</f>
        <v>10.906976744186046</v>
      </c>
    </row>
    <row r="65" spans="1:14" x14ac:dyDescent="0.35">
      <c r="A65">
        <f t="shared" si="6"/>
        <v>82</v>
      </c>
      <c r="B65" t="s">
        <v>120</v>
      </c>
      <c r="C65" s="4">
        <f>5-25/454</f>
        <v>4.9449339207048455</v>
      </c>
      <c r="D65" s="4">
        <v>7.5</v>
      </c>
      <c r="E65" s="4">
        <f t="shared" si="3"/>
        <v>37.087004405286343</v>
      </c>
      <c r="F65" s="5">
        <v>41763</v>
      </c>
      <c r="G65" t="s">
        <v>13</v>
      </c>
      <c r="H65" t="s">
        <v>22</v>
      </c>
      <c r="I65" t="s">
        <v>25</v>
      </c>
      <c r="J65" t="s">
        <v>16</v>
      </c>
      <c r="K65" s="4">
        <f t="shared" si="4"/>
        <v>2245</v>
      </c>
      <c r="L65">
        <f t="shared" si="5"/>
        <v>0</v>
      </c>
    </row>
    <row r="66" spans="1:14" x14ac:dyDescent="0.35">
      <c r="A66">
        <f t="shared" si="6"/>
        <v>83</v>
      </c>
      <c r="B66" t="s">
        <v>121</v>
      </c>
      <c r="C66" s="4">
        <v>4</v>
      </c>
      <c r="D66" s="4">
        <v>7.2</v>
      </c>
      <c r="E66" s="4">
        <f t="shared" si="3"/>
        <v>28.8</v>
      </c>
      <c r="F66" s="5">
        <v>41787</v>
      </c>
      <c r="G66" t="s">
        <v>27</v>
      </c>
      <c r="H66" t="s">
        <v>22</v>
      </c>
      <c r="I66" t="s">
        <v>25</v>
      </c>
      <c r="J66" t="s">
        <v>16</v>
      </c>
      <c r="K66" s="4">
        <f t="shared" si="4"/>
        <v>1816</v>
      </c>
      <c r="L66">
        <f t="shared" si="5"/>
        <v>0</v>
      </c>
    </row>
    <row r="67" spans="1:14" x14ac:dyDescent="0.35">
      <c r="A67">
        <f t="shared" si="6"/>
        <v>84</v>
      </c>
      <c r="B67" t="s">
        <v>122</v>
      </c>
      <c r="C67" s="4">
        <v>4</v>
      </c>
      <c r="D67" s="4">
        <v>7.7</v>
      </c>
      <c r="E67" s="4">
        <f t="shared" si="3"/>
        <v>30.8</v>
      </c>
      <c r="F67" s="5">
        <v>41787</v>
      </c>
      <c r="G67" t="s">
        <v>27</v>
      </c>
      <c r="H67" t="s">
        <v>22</v>
      </c>
      <c r="I67" t="s">
        <v>25</v>
      </c>
      <c r="J67" t="s">
        <v>16</v>
      </c>
      <c r="K67" s="4">
        <f t="shared" si="4"/>
        <v>1816</v>
      </c>
      <c r="L67">
        <f t="shared" si="5"/>
        <v>0</v>
      </c>
    </row>
    <row r="68" spans="1:14" x14ac:dyDescent="0.35">
      <c r="A68">
        <f t="shared" si="6"/>
        <v>85</v>
      </c>
      <c r="B68" t="s">
        <v>123</v>
      </c>
      <c r="C68" s="4">
        <v>5</v>
      </c>
      <c r="D68" s="4">
        <v>7.5</v>
      </c>
      <c r="E68" s="4">
        <f t="shared" ref="E68:E73" si="7">D68*C68</f>
        <v>37.5</v>
      </c>
      <c r="F68" s="5">
        <v>41879</v>
      </c>
      <c r="G68" t="s">
        <v>13</v>
      </c>
      <c r="H68" t="s">
        <v>47</v>
      </c>
      <c r="I68" t="s">
        <v>19</v>
      </c>
      <c r="J68" t="s">
        <v>16</v>
      </c>
      <c r="K68" s="4">
        <f t="shared" ref="K68:K73" si="8">454*C68</f>
        <v>2270</v>
      </c>
      <c r="L68">
        <f t="shared" si="5"/>
        <v>0</v>
      </c>
    </row>
    <row r="69" spans="1:14" x14ac:dyDescent="0.35">
      <c r="A69">
        <f t="shared" si="6"/>
        <v>86</v>
      </c>
      <c r="B69" t="s">
        <v>124</v>
      </c>
      <c r="C69" s="4">
        <f>5-120/454</f>
        <v>4.7356828193832596</v>
      </c>
      <c r="D69" s="4">
        <v>8.3000000000000007</v>
      </c>
      <c r="E69" s="4">
        <f t="shared" si="7"/>
        <v>39.306167400881058</v>
      </c>
      <c r="F69" s="5">
        <v>41879</v>
      </c>
      <c r="G69" t="s">
        <v>13</v>
      </c>
      <c r="H69" t="s">
        <v>22</v>
      </c>
      <c r="I69" t="s">
        <v>25</v>
      </c>
      <c r="J69" t="s">
        <v>16</v>
      </c>
      <c r="K69" s="4">
        <f t="shared" si="8"/>
        <v>2150</v>
      </c>
      <c r="L69">
        <f t="shared" ref="L69:L132" si="9">HLOOKUP(A69,$N$1:$HZ$2,2)</f>
        <v>0</v>
      </c>
    </row>
    <row r="70" spans="1:14" x14ac:dyDescent="0.35">
      <c r="A70">
        <f t="shared" si="6"/>
        <v>87</v>
      </c>
      <c r="B70" t="s">
        <v>125</v>
      </c>
      <c r="C70" s="4">
        <f>5-120/454</f>
        <v>4.7356828193832596</v>
      </c>
      <c r="D70" s="4">
        <v>7.5</v>
      </c>
      <c r="E70" s="4">
        <f t="shared" si="7"/>
        <v>35.517621145374449</v>
      </c>
      <c r="F70" s="5">
        <v>41983</v>
      </c>
      <c r="G70" t="s">
        <v>13</v>
      </c>
      <c r="H70" t="s">
        <v>22</v>
      </c>
      <c r="I70" t="s">
        <v>25</v>
      </c>
      <c r="J70" t="s">
        <v>16</v>
      </c>
      <c r="K70" s="4">
        <f t="shared" si="8"/>
        <v>2150</v>
      </c>
      <c r="L70">
        <f t="shared" si="9"/>
        <v>0</v>
      </c>
    </row>
    <row r="71" spans="1:14" x14ac:dyDescent="0.35">
      <c r="A71">
        <f t="shared" si="6"/>
        <v>88</v>
      </c>
      <c r="B71" t="s">
        <v>126</v>
      </c>
      <c r="C71" s="4">
        <f>5+70/454</f>
        <v>5.1541850220264314</v>
      </c>
      <c r="D71" s="4">
        <v>8</v>
      </c>
      <c r="E71" s="4">
        <f t="shared" si="7"/>
        <v>41.233480176211451</v>
      </c>
      <c r="F71" s="5">
        <v>41998</v>
      </c>
      <c r="G71" t="s">
        <v>50</v>
      </c>
      <c r="H71" t="s">
        <v>22</v>
      </c>
      <c r="I71" t="s">
        <v>25</v>
      </c>
      <c r="J71" t="s">
        <v>16</v>
      </c>
      <c r="K71" s="4">
        <f t="shared" si="8"/>
        <v>2340</v>
      </c>
      <c r="L71">
        <f t="shared" si="9"/>
        <v>0</v>
      </c>
    </row>
    <row r="72" spans="1:14" x14ac:dyDescent="0.35">
      <c r="A72">
        <f t="shared" si="6"/>
        <v>89</v>
      </c>
      <c r="B72" t="s">
        <v>127</v>
      </c>
      <c r="C72" s="4">
        <f>5-125/454</f>
        <v>4.7246696035242293</v>
      </c>
      <c r="D72" s="4">
        <v>6.5</v>
      </c>
      <c r="E72" s="4">
        <f t="shared" si="7"/>
        <v>30.710352422907491</v>
      </c>
      <c r="F72" s="5">
        <v>41922</v>
      </c>
      <c r="G72" t="s">
        <v>13</v>
      </c>
      <c r="H72" t="s">
        <v>34</v>
      </c>
      <c r="I72" t="s">
        <v>87</v>
      </c>
      <c r="J72" t="s">
        <v>16</v>
      </c>
      <c r="K72" s="4">
        <f t="shared" si="8"/>
        <v>2145</v>
      </c>
      <c r="L72">
        <f t="shared" si="9"/>
        <v>0</v>
      </c>
    </row>
    <row r="73" spans="1:14" x14ac:dyDescent="0.35">
      <c r="A73">
        <f t="shared" si="6"/>
        <v>90</v>
      </c>
      <c r="B73" t="s">
        <v>128</v>
      </c>
      <c r="C73" s="4">
        <f>2.5-160/454</f>
        <v>2.1475770925110131</v>
      </c>
      <c r="D73" s="4">
        <v>6</v>
      </c>
      <c r="E73" s="4">
        <f t="shared" si="7"/>
        <v>12.885462555066079</v>
      </c>
      <c r="F73" s="5">
        <v>42026</v>
      </c>
      <c r="G73" t="s">
        <v>13</v>
      </c>
      <c r="H73" t="s">
        <v>34</v>
      </c>
      <c r="I73" t="s">
        <v>35</v>
      </c>
      <c r="J73" t="s">
        <v>16</v>
      </c>
      <c r="K73" s="4">
        <f t="shared" si="8"/>
        <v>975</v>
      </c>
      <c r="L73">
        <f t="shared" si="9"/>
        <v>0</v>
      </c>
    </row>
    <row r="74" spans="1:14" x14ac:dyDescent="0.35">
      <c r="A74">
        <f>1+A73</f>
        <v>91</v>
      </c>
      <c r="B74" t="s">
        <v>129</v>
      </c>
      <c r="C74" s="4">
        <f>5-125/454</f>
        <v>4.7246696035242293</v>
      </c>
      <c r="D74" s="4">
        <v>7.7</v>
      </c>
      <c r="E74" s="4">
        <f>D74*C74</f>
        <v>36.379955947136565</v>
      </c>
      <c r="F74" s="5">
        <v>42066</v>
      </c>
      <c r="G74" t="s">
        <v>130</v>
      </c>
      <c r="H74" t="s">
        <v>22</v>
      </c>
      <c r="I74" t="s">
        <v>25</v>
      </c>
      <c r="J74" t="s">
        <v>16</v>
      </c>
      <c r="K74" s="4">
        <f>454*C74</f>
        <v>2145</v>
      </c>
      <c r="L74">
        <f t="shared" si="9"/>
        <v>0</v>
      </c>
    </row>
    <row r="75" spans="1:14" x14ac:dyDescent="0.35">
      <c r="A75">
        <f>1+A74</f>
        <v>92</v>
      </c>
      <c r="B75" t="s">
        <v>131</v>
      </c>
      <c r="C75" s="4">
        <f>5+(172-102)/454</f>
        <v>5.1541850220264314</v>
      </c>
      <c r="D75" s="4">
        <v>6</v>
      </c>
      <c r="E75" s="4">
        <f>D75*C75</f>
        <v>30.925110132158586</v>
      </c>
      <c r="F75" s="5">
        <v>42073</v>
      </c>
      <c r="G75" t="s">
        <v>13</v>
      </c>
      <c r="H75" t="s">
        <v>34</v>
      </c>
      <c r="I75" t="s">
        <v>35</v>
      </c>
      <c r="J75" t="s">
        <v>16</v>
      </c>
      <c r="K75" s="4">
        <f>454*C75</f>
        <v>2340</v>
      </c>
      <c r="L75">
        <f t="shared" si="9"/>
        <v>0</v>
      </c>
      <c r="N75">
        <f>492-L75</f>
        <v>492</v>
      </c>
    </row>
    <row r="76" spans="1:14" x14ac:dyDescent="0.35">
      <c r="A76">
        <f>1+A75</f>
        <v>93</v>
      </c>
      <c r="B76" t="s">
        <v>132</v>
      </c>
      <c r="C76" s="4">
        <f>4-61/454</f>
        <v>3.8656387665198237</v>
      </c>
      <c r="D76" s="4">
        <v>10</v>
      </c>
      <c r="E76" s="4">
        <f>D76*C76</f>
        <v>38.656387665198238</v>
      </c>
      <c r="F76" s="5">
        <v>42110</v>
      </c>
      <c r="G76" t="s">
        <v>130</v>
      </c>
      <c r="H76" t="s">
        <v>47</v>
      </c>
      <c r="I76" t="s">
        <v>92</v>
      </c>
      <c r="J76" t="s">
        <v>16</v>
      </c>
      <c r="K76" s="4">
        <f>454*C76</f>
        <v>1755</v>
      </c>
      <c r="L76">
        <f t="shared" si="9"/>
        <v>0</v>
      </c>
    </row>
    <row r="77" spans="1:14" x14ac:dyDescent="0.35">
      <c r="A77">
        <f>1+A76</f>
        <v>94</v>
      </c>
      <c r="B77" t="s">
        <v>133</v>
      </c>
      <c r="C77" s="4">
        <f>3+(115+673)/454</f>
        <v>4.7356828193832596</v>
      </c>
      <c r="D77" s="4">
        <v>6</v>
      </c>
      <c r="E77" s="4">
        <f>D77*C77</f>
        <v>28.414096916299556</v>
      </c>
      <c r="F77" s="5">
        <v>41905</v>
      </c>
      <c r="G77" t="s">
        <v>13</v>
      </c>
      <c r="H77" t="s">
        <v>83</v>
      </c>
      <c r="I77" t="s">
        <v>84</v>
      </c>
      <c r="J77" t="s">
        <v>16</v>
      </c>
      <c r="K77" s="4">
        <f>454*C77</f>
        <v>2150</v>
      </c>
      <c r="L77">
        <f t="shared" si="9"/>
        <v>0</v>
      </c>
    </row>
    <row r="78" spans="1:14" x14ac:dyDescent="0.35">
      <c r="A78">
        <f>1+A77</f>
        <v>95</v>
      </c>
      <c r="B78" t="s">
        <v>134</v>
      </c>
      <c r="C78" s="4">
        <f>5-1295/454</f>
        <v>2.1475770925110131</v>
      </c>
      <c r="D78" s="4">
        <v>7.7</v>
      </c>
      <c r="E78" s="4">
        <f>D78*C78</f>
        <v>16.5363436123348</v>
      </c>
      <c r="F78" s="5">
        <v>42114</v>
      </c>
      <c r="G78" t="s">
        <v>13</v>
      </c>
      <c r="H78" t="s">
        <v>22</v>
      </c>
      <c r="I78" t="s">
        <v>25</v>
      </c>
      <c r="J78" t="s">
        <v>16</v>
      </c>
      <c r="K78" s="4">
        <f>454*C78</f>
        <v>975</v>
      </c>
      <c r="L78">
        <f t="shared" si="9"/>
        <v>0</v>
      </c>
    </row>
    <row r="79" spans="1:14" x14ac:dyDescent="0.35">
      <c r="A79">
        <f t="shared" ref="A79:A142" si="10">1+A78</f>
        <v>96</v>
      </c>
      <c r="B79" t="s">
        <v>135</v>
      </c>
      <c r="C79" s="4">
        <f>4-96/454</f>
        <v>3.7885462555066081</v>
      </c>
      <c r="D79" s="4">
        <v>7.7</v>
      </c>
      <c r="E79" s="4">
        <f t="shared" ref="E79:E135" si="11">D79*C79</f>
        <v>29.171806167400884</v>
      </c>
      <c r="F79" s="5">
        <v>42133</v>
      </c>
      <c r="G79" t="s">
        <v>27</v>
      </c>
      <c r="H79" t="s">
        <v>22</v>
      </c>
      <c r="I79" t="s">
        <v>71</v>
      </c>
      <c r="J79" t="s">
        <v>16</v>
      </c>
      <c r="K79" s="4">
        <f t="shared" ref="K79:K135" si="12">454*C79</f>
        <v>1720</v>
      </c>
      <c r="L79">
        <f t="shared" si="9"/>
        <v>0</v>
      </c>
    </row>
    <row r="80" spans="1:14" x14ac:dyDescent="0.35">
      <c r="A80">
        <f t="shared" si="10"/>
        <v>97</v>
      </c>
      <c r="B80" t="s">
        <v>136</v>
      </c>
      <c r="C80" s="4">
        <f>2+422/454</f>
        <v>2.9295154185022025</v>
      </c>
      <c r="D80" s="4">
        <v>7.7</v>
      </c>
      <c r="E80" s="4">
        <f t="shared" si="11"/>
        <v>22.557268722466961</v>
      </c>
      <c r="F80" s="5">
        <v>42133</v>
      </c>
      <c r="G80" t="s">
        <v>27</v>
      </c>
      <c r="H80" t="s">
        <v>47</v>
      </c>
      <c r="I80" t="s">
        <v>92</v>
      </c>
      <c r="J80" t="s">
        <v>16</v>
      </c>
      <c r="K80" s="4">
        <f t="shared" si="12"/>
        <v>1330</v>
      </c>
      <c r="L80">
        <f t="shared" si="9"/>
        <v>0</v>
      </c>
    </row>
    <row r="81" spans="1:12" x14ac:dyDescent="0.35">
      <c r="A81">
        <f t="shared" si="10"/>
        <v>98</v>
      </c>
      <c r="B81" t="s">
        <v>137</v>
      </c>
      <c r="C81" s="4">
        <f>5+(1328-88)/454</f>
        <v>7.7312775330396475</v>
      </c>
      <c r="D81" s="4">
        <v>6</v>
      </c>
      <c r="E81" s="4">
        <f t="shared" si="11"/>
        <v>46.387665198237883</v>
      </c>
      <c r="F81" s="5">
        <v>42172</v>
      </c>
      <c r="G81" t="s">
        <v>13</v>
      </c>
      <c r="H81" t="s">
        <v>47</v>
      </c>
      <c r="I81" t="s">
        <v>19</v>
      </c>
      <c r="J81" t="s">
        <v>16</v>
      </c>
      <c r="K81" s="4">
        <f t="shared" si="12"/>
        <v>3510</v>
      </c>
      <c r="L81">
        <f t="shared" si="9"/>
        <v>0</v>
      </c>
    </row>
    <row r="82" spans="1:12" x14ac:dyDescent="0.35">
      <c r="A82">
        <f>1+A81</f>
        <v>99</v>
      </c>
      <c r="B82" t="s">
        <v>138</v>
      </c>
      <c r="C82" s="4">
        <f>5+70/454</f>
        <v>5.1541850220264314</v>
      </c>
      <c r="D82" s="4">
        <v>19.5</v>
      </c>
      <c r="E82" s="4">
        <f>D82*C82</f>
        <v>100.50660792951541</v>
      </c>
      <c r="F82" s="5">
        <v>42172</v>
      </c>
      <c r="G82" t="s">
        <v>13</v>
      </c>
      <c r="H82" t="s">
        <v>139</v>
      </c>
      <c r="I82" t="s">
        <v>43</v>
      </c>
      <c r="J82" t="s">
        <v>16</v>
      </c>
      <c r="K82" s="4">
        <f>454*C82</f>
        <v>2340</v>
      </c>
      <c r="L82">
        <f t="shared" si="9"/>
        <v>0</v>
      </c>
    </row>
    <row r="83" spans="1:12" x14ac:dyDescent="0.35">
      <c r="A83">
        <f t="shared" si="10"/>
        <v>100</v>
      </c>
      <c r="B83" t="s">
        <v>140</v>
      </c>
      <c r="C83" s="4">
        <f>5+70/454</f>
        <v>5.1541850220264314</v>
      </c>
      <c r="D83" s="4">
        <v>5.9</v>
      </c>
      <c r="E83" s="4">
        <f>D83*C83</f>
        <v>30.409691629955947</v>
      </c>
      <c r="F83" s="5">
        <v>42172</v>
      </c>
      <c r="G83" t="s">
        <v>13</v>
      </c>
      <c r="H83" t="s">
        <v>47</v>
      </c>
      <c r="I83" t="s">
        <v>102</v>
      </c>
      <c r="J83" t="s">
        <v>16</v>
      </c>
      <c r="K83" s="4">
        <f t="shared" si="12"/>
        <v>2340</v>
      </c>
      <c r="L83">
        <f t="shared" si="9"/>
        <v>0</v>
      </c>
    </row>
    <row r="84" spans="1:12" x14ac:dyDescent="0.35">
      <c r="A84">
        <f t="shared" si="10"/>
        <v>101</v>
      </c>
      <c r="B84" t="s">
        <v>141</v>
      </c>
      <c r="C84" s="4">
        <f>5+(1250-320+115)/454</f>
        <v>7.3017621145374445</v>
      </c>
      <c r="D84" s="4">
        <v>7.2</v>
      </c>
      <c r="E84" s="4">
        <f t="shared" si="11"/>
        <v>52.5726872246696</v>
      </c>
      <c r="F84" s="5">
        <v>42175</v>
      </c>
      <c r="G84" t="s">
        <v>13</v>
      </c>
      <c r="H84" t="s">
        <v>47</v>
      </c>
      <c r="I84" t="s">
        <v>64</v>
      </c>
      <c r="J84" t="s">
        <v>16</v>
      </c>
      <c r="K84" s="4">
        <f t="shared" si="12"/>
        <v>3315</v>
      </c>
      <c r="L84">
        <f t="shared" si="9"/>
        <v>0</v>
      </c>
    </row>
    <row r="85" spans="1:12" x14ac:dyDescent="0.35">
      <c r="A85">
        <f t="shared" si="10"/>
        <v>102</v>
      </c>
      <c r="B85" t="s">
        <v>142</v>
      </c>
      <c r="C85" s="4">
        <f>5-125/454</f>
        <v>4.7246696035242293</v>
      </c>
      <c r="D85" s="4">
        <v>7.4</v>
      </c>
      <c r="E85" s="4">
        <f t="shared" si="11"/>
        <v>34.962555066079297</v>
      </c>
      <c r="F85" s="5">
        <v>42175</v>
      </c>
      <c r="G85" t="s">
        <v>13</v>
      </c>
      <c r="H85" t="s">
        <v>47</v>
      </c>
      <c r="I85" t="s">
        <v>48</v>
      </c>
      <c r="J85" t="s">
        <v>16</v>
      </c>
      <c r="K85" s="4">
        <f t="shared" si="12"/>
        <v>2145</v>
      </c>
      <c r="L85">
        <f t="shared" si="9"/>
        <v>0</v>
      </c>
    </row>
    <row r="86" spans="1:12" x14ac:dyDescent="0.35">
      <c r="A86">
        <f t="shared" si="10"/>
        <v>103</v>
      </c>
      <c r="B86" t="s">
        <v>143</v>
      </c>
      <c r="C86" s="4">
        <f>5-125/454</f>
        <v>4.7246696035242293</v>
      </c>
      <c r="D86" s="4">
        <v>6</v>
      </c>
      <c r="E86" s="4">
        <f t="shared" si="11"/>
        <v>28.348017621145374</v>
      </c>
      <c r="F86" s="5">
        <v>42180</v>
      </c>
      <c r="G86" t="s">
        <v>27</v>
      </c>
      <c r="H86" t="s">
        <v>47</v>
      </c>
      <c r="I86" t="s">
        <v>92</v>
      </c>
      <c r="J86" t="s">
        <v>16</v>
      </c>
      <c r="K86" s="4">
        <f t="shared" si="12"/>
        <v>2145</v>
      </c>
      <c r="L86">
        <f t="shared" si="9"/>
        <v>0</v>
      </c>
    </row>
    <row r="87" spans="1:12" x14ac:dyDescent="0.35">
      <c r="A87">
        <f t="shared" si="10"/>
        <v>104</v>
      </c>
      <c r="B87" t="s">
        <v>144</v>
      </c>
      <c r="C87" s="4">
        <f>6+201/454</f>
        <v>6.4427312775330394</v>
      </c>
      <c r="D87" s="4">
        <v>10.5</v>
      </c>
      <c r="E87" s="4">
        <f t="shared" si="11"/>
        <v>67.648678414096921</v>
      </c>
      <c r="F87" s="5">
        <v>42209</v>
      </c>
      <c r="G87" t="s">
        <v>50</v>
      </c>
      <c r="H87" t="s">
        <v>47</v>
      </c>
      <c r="I87" t="s">
        <v>51</v>
      </c>
      <c r="J87" t="s">
        <v>16</v>
      </c>
      <c r="K87" s="4">
        <f t="shared" si="12"/>
        <v>2925</v>
      </c>
      <c r="L87">
        <f t="shared" si="9"/>
        <v>0</v>
      </c>
    </row>
    <row r="88" spans="1:12" x14ac:dyDescent="0.35">
      <c r="A88">
        <f t="shared" si="10"/>
        <v>105</v>
      </c>
      <c r="B88" t="s">
        <v>145</v>
      </c>
      <c r="C88" s="4">
        <f>5+125/454</f>
        <v>5.2753303964757707</v>
      </c>
      <c r="D88" s="4">
        <v>5.3</v>
      </c>
      <c r="E88" s="4">
        <f t="shared" si="11"/>
        <v>27.959251101321584</v>
      </c>
      <c r="F88" s="5">
        <v>42214</v>
      </c>
      <c r="G88" t="s">
        <v>13</v>
      </c>
      <c r="H88" t="s">
        <v>22</v>
      </c>
      <c r="I88" t="s">
        <v>71</v>
      </c>
      <c r="J88" t="s">
        <v>16</v>
      </c>
      <c r="K88" s="4">
        <f t="shared" si="12"/>
        <v>2395</v>
      </c>
      <c r="L88">
        <f t="shared" si="9"/>
        <v>0</v>
      </c>
    </row>
    <row r="89" spans="1:12" x14ac:dyDescent="0.35">
      <c r="A89">
        <f t="shared" si="10"/>
        <v>106</v>
      </c>
      <c r="B89" t="s">
        <v>146</v>
      </c>
      <c r="C89" s="4">
        <f>5+130/454</f>
        <v>5.286343612334802</v>
      </c>
      <c r="D89" s="4">
        <v>7</v>
      </c>
      <c r="E89" s="4">
        <f t="shared" si="11"/>
        <v>37.004405286343612</v>
      </c>
      <c r="F89" s="5">
        <v>42214</v>
      </c>
      <c r="G89" t="s">
        <v>13</v>
      </c>
      <c r="H89" t="s">
        <v>22</v>
      </c>
      <c r="I89" t="s">
        <v>25</v>
      </c>
      <c r="J89" t="s">
        <v>16</v>
      </c>
      <c r="K89" s="4">
        <f t="shared" si="12"/>
        <v>2400</v>
      </c>
      <c r="L89">
        <f t="shared" si="9"/>
        <v>0</v>
      </c>
    </row>
    <row r="90" spans="1:12" x14ac:dyDescent="0.35">
      <c r="A90">
        <f t="shared" si="10"/>
        <v>107</v>
      </c>
      <c r="B90" t="s">
        <v>147</v>
      </c>
      <c r="C90" s="4">
        <v>2</v>
      </c>
      <c r="D90" s="4">
        <v>6</v>
      </c>
      <c r="E90" s="4">
        <f t="shared" si="11"/>
        <v>12</v>
      </c>
      <c r="F90" s="5">
        <v>42299</v>
      </c>
      <c r="G90" t="s">
        <v>27</v>
      </c>
      <c r="H90" t="s">
        <v>55</v>
      </c>
      <c r="I90" t="s">
        <v>58</v>
      </c>
      <c r="J90" t="s">
        <v>16</v>
      </c>
      <c r="K90" s="4">
        <f t="shared" si="12"/>
        <v>908</v>
      </c>
      <c r="L90">
        <f t="shared" si="9"/>
        <v>0</v>
      </c>
    </row>
    <row r="91" spans="1:12" x14ac:dyDescent="0.35">
      <c r="A91">
        <f t="shared" si="10"/>
        <v>108</v>
      </c>
      <c r="B91" t="s">
        <v>107</v>
      </c>
      <c r="C91" s="4">
        <f>2-8/454</f>
        <v>1.9823788546255507</v>
      </c>
      <c r="D91" s="4">
        <v>6</v>
      </c>
      <c r="E91" s="4">
        <f t="shared" si="11"/>
        <v>11.894273127753305</v>
      </c>
      <c r="F91" s="5">
        <v>42299</v>
      </c>
      <c r="G91" t="s">
        <v>27</v>
      </c>
      <c r="H91" t="s">
        <v>55</v>
      </c>
      <c r="I91" t="s">
        <v>58</v>
      </c>
      <c r="J91" t="s">
        <v>16</v>
      </c>
      <c r="K91" s="4">
        <f t="shared" si="12"/>
        <v>900</v>
      </c>
      <c r="L91">
        <f t="shared" si="9"/>
        <v>0</v>
      </c>
    </row>
    <row r="92" spans="1:12" x14ac:dyDescent="0.35">
      <c r="A92">
        <f t="shared" si="10"/>
        <v>109</v>
      </c>
      <c r="B92" t="s">
        <v>148</v>
      </c>
      <c r="C92" s="4">
        <f>10+455/454</f>
        <v>11.002202643171806</v>
      </c>
      <c r="D92" s="4">
        <v>7.7</v>
      </c>
      <c r="E92" s="4">
        <f t="shared" si="11"/>
        <v>84.716960352422902</v>
      </c>
      <c r="F92" s="5">
        <v>42066</v>
      </c>
      <c r="G92" t="s">
        <v>130</v>
      </c>
      <c r="H92" t="s">
        <v>22</v>
      </c>
      <c r="I92" t="s">
        <v>25</v>
      </c>
      <c r="J92" t="s">
        <v>16</v>
      </c>
      <c r="K92" s="4">
        <f t="shared" si="12"/>
        <v>4995</v>
      </c>
      <c r="L92">
        <f t="shared" si="9"/>
        <v>0</v>
      </c>
    </row>
    <row r="93" spans="1:12" x14ac:dyDescent="0.35">
      <c r="A93">
        <f t="shared" si="10"/>
        <v>110</v>
      </c>
      <c r="B93" t="s">
        <v>149</v>
      </c>
      <c r="C93" s="4">
        <f>5+70/454</f>
        <v>5.1541850220264314</v>
      </c>
      <c r="D93" s="4">
        <v>7</v>
      </c>
      <c r="E93" s="4">
        <f t="shared" si="11"/>
        <v>36.079295154185019</v>
      </c>
      <c r="F93" s="5">
        <v>42412</v>
      </c>
      <c r="G93" t="s">
        <v>13</v>
      </c>
      <c r="H93" t="s">
        <v>34</v>
      </c>
      <c r="I93" t="s">
        <v>150</v>
      </c>
      <c r="J93" t="s">
        <v>16</v>
      </c>
      <c r="K93" s="4">
        <f t="shared" si="12"/>
        <v>2340</v>
      </c>
      <c r="L93">
        <f t="shared" si="9"/>
        <v>0</v>
      </c>
    </row>
    <row r="94" spans="1:12" x14ac:dyDescent="0.35">
      <c r="A94">
        <f t="shared" si="10"/>
        <v>111</v>
      </c>
      <c r="B94" t="s">
        <v>151</v>
      </c>
      <c r="C94" s="4">
        <f>10+725/454</f>
        <v>11.596916299559471</v>
      </c>
      <c r="D94" s="4">
        <v>5.8</v>
      </c>
      <c r="E94" s="4">
        <f t="shared" si="11"/>
        <v>67.26211453744493</v>
      </c>
      <c r="F94" s="5">
        <v>42459</v>
      </c>
      <c r="G94" t="s">
        <v>13</v>
      </c>
      <c r="H94" t="s">
        <v>22</v>
      </c>
      <c r="I94" t="s">
        <v>25</v>
      </c>
      <c r="J94" t="s">
        <v>16</v>
      </c>
      <c r="K94" s="4">
        <f t="shared" si="12"/>
        <v>5265</v>
      </c>
      <c r="L94">
        <f t="shared" si="9"/>
        <v>0</v>
      </c>
    </row>
    <row r="95" spans="1:12" x14ac:dyDescent="0.35">
      <c r="A95">
        <f t="shared" si="10"/>
        <v>112</v>
      </c>
      <c r="B95" t="s">
        <v>152</v>
      </c>
      <c r="C95" s="4">
        <f>5+265/454</f>
        <v>5.5837004405286343</v>
      </c>
      <c r="D95" s="4">
        <v>6.75</v>
      </c>
      <c r="E95" s="4">
        <f t="shared" si="11"/>
        <v>37.689977973568283</v>
      </c>
      <c r="F95" s="5">
        <v>42569</v>
      </c>
      <c r="G95" t="s">
        <v>50</v>
      </c>
      <c r="H95" t="s">
        <v>47</v>
      </c>
      <c r="I95" t="s">
        <v>64</v>
      </c>
      <c r="J95" t="s">
        <v>16</v>
      </c>
      <c r="K95" s="4">
        <f t="shared" si="12"/>
        <v>2535</v>
      </c>
      <c r="L95">
        <f t="shared" si="9"/>
        <v>0</v>
      </c>
    </row>
    <row r="96" spans="1:12" x14ac:dyDescent="0.35">
      <c r="A96">
        <f t="shared" si="10"/>
        <v>113</v>
      </c>
      <c r="B96" t="s">
        <v>153</v>
      </c>
      <c r="C96" s="4">
        <f>5+265/454</f>
        <v>5.5837004405286343</v>
      </c>
      <c r="D96" s="4">
        <v>7.25</v>
      </c>
      <c r="E96" s="4">
        <f t="shared" si="11"/>
        <v>40.481828193832598</v>
      </c>
      <c r="F96" s="5">
        <v>42569</v>
      </c>
      <c r="G96" t="s">
        <v>50</v>
      </c>
      <c r="H96" t="s">
        <v>22</v>
      </c>
      <c r="I96" t="s">
        <v>154</v>
      </c>
      <c r="J96" t="s">
        <v>16</v>
      </c>
      <c r="K96" s="4">
        <f t="shared" si="12"/>
        <v>2535</v>
      </c>
      <c r="L96">
        <f t="shared" si="9"/>
        <v>0</v>
      </c>
    </row>
    <row r="97" spans="1:12" x14ac:dyDescent="0.35">
      <c r="A97">
        <f t="shared" si="10"/>
        <v>114</v>
      </c>
      <c r="B97" t="s">
        <v>155</v>
      </c>
      <c r="C97" s="4">
        <f>5+70/454</f>
        <v>5.1541850220264314</v>
      </c>
      <c r="D97" s="4">
        <v>7.7</v>
      </c>
      <c r="E97" s="4">
        <f t="shared" si="11"/>
        <v>39.687224669603523</v>
      </c>
      <c r="F97" s="5">
        <v>42580</v>
      </c>
      <c r="G97" t="s">
        <v>27</v>
      </c>
      <c r="H97" t="s">
        <v>47</v>
      </c>
      <c r="I97" t="s">
        <v>92</v>
      </c>
      <c r="J97" t="s">
        <v>16</v>
      </c>
      <c r="K97" s="4">
        <f t="shared" si="12"/>
        <v>2340</v>
      </c>
      <c r="L97">
        <f t="shared" si="9"/>
        <v>0</v>
      </c>
    </row>
    <row r="98" spans="1:12" x14ac:dyDescent="0.35">
      <c r="A98">
        <f t="shared" si="10"/>
        <v>115</v>
      </c>
      <c r="B98" t="s">
        <v>156</v>
      </c>
      <c r="C98" s="4">
        <f>2-8/454</f>
        <v>1.9823788546255507</v>
      </c>
      <c r="D98" s="4">
        <v>6</v>
      </c>
      <c r="E98" s="4">
        <f t="shared" si="11"/>
        <v>11.894273127753305</v>
      </c>
      <c r="F98" s="5">
        <v>42580</v>
      </c>
      <c r="G98" t="s">
        <v>27</v>
      </c>
      <c r="H98" t="s">
        <v>55</v>
      </c>
      <c r="I98" t="s">
        <v>58</v>
      </c>
      <c r="J98" t="s">
        <v>16</v>
      </c>
      <c r="K98" s="4">
        <f t="shared" si="12"/>
        <v>900</v>
      </c>
      <c r="L98">
        <f t="shared" si="9"/>
        <v>0</v>
      </c>
    </row>
    <row r="99" spans="1:12" x14ac:dyDescent="0.35">
      <c r="A99">
        <f t="shared" si="10"/>
        <v>116</v>
      </c>
      <c r="B99" t="s">
        <v>157</v>
      </c>
      <c r="C99" s="4">
        <f>5+265/454</f>
        <v>5.5837004405286343</v>
      </c>
      <c r="D99" s="4">
        <v>5.8</v>
      </c>
      <c r="E99" s="4">
        <f t="shared" si="11"/>
        <v>32.385462555066077</v>
      </c>
      <c r="F99" s="5">
        <v>42624</v>
      </c>
      <c r="G99" t="s">
        <v>13</v>
      </c>
      <c r="H99" t="s">
        <v>22</v>
      </c>
      <c r="I99" t="s">
        <v>71</v>
      </c>
      <c r="J99" t="s">
        <v>16</v>
      </c>
      <c r="K99" s="4">
        <f t="shared" si="12"/>
        <v>2535</v>
      </c>
      <c r="L99">
        <f t="shared" si="9"/>
        <v>0</v>
      </c>
    </row>
    <row r="100" spans="1:12" x14ac:dyDescent="0.35">
      <c r="A100">
        <f t="shared" si="10"/>
        <v>117</v>
      </c>
      <c r="B100" t="s">
        <v>158</v>
      </c>
      <c r="C100" s="4">
        <f>6+201/454</f>
        <v>6.4427312775330394</v>
      </c>
      <c r="D100" s="4">
        <v>10.5</v>
      </c>
      <c r="E100" s="4">
        <f t="shared" si="11"/>
        <v>67.648678414096921</v>
      </c>
      <c r="F100" s="5">
        <v>42624</v>
      </c>
      <c r="G100" t="s">
        <v>50</v>
      </c>
      <c r="H100" t="s">
        <v>47</v>
      </c>
      <c r="I100" t="s">
        <v>51</v>
      </c>
      <c r="J100" t="s">
        <v>16</v>
      </c>
      <c r="K100" s="4">
        <f t="shared" si="12"/>
        <v>2925</v>
      </c>
      <c r="L100">
        <f t="shared" si="9"/>
        <v>0</v>
      </c>
    </row>
    <row r="101" spans="1:12" x14ac:dyDescent="0.35">
      <c r="A101">
        <f t="shared" si="10"/>
        <v>118</v>
      </c>
      <c r="B101" t="s">
        <v>159</v>
      </c>
      <c r="C101" s="4">
        <f>180/454+10</f>
        <v>10.396475770925111</v>
      </c>
      <c r="D101" s="4">
        <v>5.2</v>
      </c>
      <c r="E101" s="4">
        <f t="shared" si="11"/>
        <v>54.061674008810577</v>
      </c>
      <c r="F101" s="5">
        <v>42715</v>
      </c>
      <c r="G101" t="s">
        <v>130</v>
      </c>
      <c r="H101" t="s">
        <v>34</v>
      </c>
      <c r="I101" t="s">
        <v>35</v>
      </c>
      <c r="J101" t="s">
        <v>16</v>
      </c>
      <c r="K101" s="4">
        <f t="shared" si="12"/>
        <v>4720</v>
      </c>
      <c r="L101">
        <f t="shared" si="9"/>
        <v>0</v>
      </c>
    </row>
    <row r="102" spans="1:12" x14ac:dyDescent="0.35">
      <c r="A102">
        <f t="shared" si="10"/>
        <v>119</v>
      </c>
      <c r="B102" t="s">
        <v>160</v>
      </c>
      <c r="C102" s="4">
        <f>5+345/454</f>
        <v>5.7599118942731273</v>
      </c>
      <c r="D102" s="4">
        <v>19</v>
      </c>
      <c r="E102" s="4">
        <f t="shared" si="11"/>
        <v>109.43832599118942</v>
      </c>
      <c r="F102" s="5">
        <v>42715</v>
      </c>
      <c r="G102" t="s">
        <v>130</v>
      </c>
      <c r="H102" t="s">
        <v>161</v>
      </c>
      <c r="I102" t="s">
        <v>43</v>
      </c>
      <c r="J102" t="s">
        <v>16</v>
      </c>
      <c r="K102" s="4">
        <f t="shared" si="12"/>
        <v>2615</v>
      </c>
      <c r="L102">
        <f t="shared" si="9"/>
        <v>0</v>
      </c>
    </row>
    <row r="103" spans="1:12" x14ac:dyDescent="0.35">
      <c r="A103">
        <f t="shared" si="10"/>
        <v>120</v>
      </c>
      <c r="B103" t="s">
        <v>162</v>
      </c>
      <c r="C103" s="4">
        <f>5+265/454</f>
        <v>5.5837004405286343</v>
      </c>
      <c r="D103" s="4">
        <v>7.6</v>
      </c>
      <c r="E103" s="4">
        <f t="shared" si="11"/>
        <v>42.436123348017617</v>
      </c>
      <c r="F103" s="5">
        <v>42738</v>
      </c>
      <c r="G103" t="s">
        <v>13</v>
      </c>
      <c r="H103" t="s">
        <v>47</v>
      </c>
      <c r="I103" t="s">
        <v>48</v>
      </c>
      <c r="J103" t="s">
        <v>16</v>
      </c>
      <c r="K103" s="4">
        <f t="shared" si="12"/>
        <v>2535</v>
      </c>
      <c r="L103">
        <f t="shared" si="9"/>
        <v>0</v>
      </c>
    </row>
    <row r="104" spans="1:12" x14ac:dyDescent="0.35">
      <c r="A104">
        <f t="shared" si="10"/>
        <v>121</v>
      </c>
      <c r="B104" t="s">
        <v>163</v>
      </c>
      <c r="C104" s="4">
        <f>5+265/454</f>
        <v>5.5837004405286343</v>
      </c>
      <c r="D104" s="4">
        <v>7.6</v>
      </c>
      <c r="E104" s="4">
        <f t="shared" si="11"/>
        <v>42.436123348017617</v>
      </c>
      <c r="F104" s="5">
        <v>42738</v>
      </c>
      <c r="G104" t="s">
        <v>13</v>
      </c>
      <c r="H104" t="s">
        <v>22</v>
      </c>
      <c r="I104" t="s">
        <v>25</v>
      </c>
      <c r="J104" t="s">
        <v>16</v>
      </c>
      <c r="K104" s="4">
        <f t="shared" si="12"/>
        <v>2535</v>
      </c>
      <c r="L104">
        <f t="shared" si="9"/>
        <v>0</v>
      </c>
    </row>
    <row r="105" spans="1:12" x14ac:dyDescent="0.35">
      <c r="A105">
        <f t="shared" si="10"/>
        <v>122</v>
      </c>
      <c r="B105" t="s">
        <v>164</v>
      </c>
      <c r="C105" s="4">
        <f>10+355/454</f>
        <v>10.78193832599119</v>
      </c>
      <c r="D105" s="4">
        <v>6.7</v>
      </c>
      <c r="E105" s="4">
        <f t="shared" si="11"/>
        <v>72.238986784140977</v>
      </c>
      <c r="F105" s="5">
        <v>42757</v>
      </c>
      <c r="G105" t="s">
        <v>130</v>
      </c>
      <c r="H105" t="s">
        <v>22</v>
      </c>
      <c r="I105" t="s">
        <v>25</v>
      </c>
      <c r="J105" t="s">
        <v>16</v>
      </c>
      <c r="K105" s="4">
        <f t="shared" si="12"/>
        <v>4895</v>
      </c>
      <c r="L105">
        <f t="shared" si="9"/>
        <v>0</v>
      </c>
    </row>
    <row r="106" spans="1:12" x14ac:dyDescent="0.35">
      <c r="A106">
        <f t="shared" si="10"/>
        <v>123</v>
      </c>
      <c r="B106" t="s">
        <v>165</v>
      </c>
      <c r="C106" s="4">
        <f>6+396/454</f>
        <v>6.8722466960352424</v>
      </c>
      <c r="D106" s="4">
        <v>8.5</v>
      </c>
      <c r="E106" s="4">
        <f t="shared" si="11"/>
        <v>58.414096916299563</v>
      </c>
      <c r="F106" s="5">
        <v>42846</v>
      </c>
      <c r="G106" t="s">
        <v>50</v>
      </c>
      <c r="H106" t="s">
        <v>47</v>
      </c>
      <c r="I106" t="s">
        <v>51</v>
      </c>
      <c r="J106" t="s">
        <v>16</v>
      </c>
      <c r="K106" s="4">
        <f t="shared" si="12"/>
        <v>3120</v>
      </c>
      <c r="L106">
        <f t="shared" si="9"/>
        <v>0</v>
      </c>
    </row>
    <row r="107" spans="1:12" x14ac:dyDescent="0.35">
      <c r="A107">
        <f t="shared" si="10"/>
        <v>124</v>
      </c>
      <c r="B107" t="s">
        <v>166</v>
      </c>
      <c r="C107" s="4">
        <f>281/454+6</f>
        <v>6.6189427312775333</v>
      </c>
      <c r="D107" s="4">
        <v>7.5</v>
      </c>
      <c r="E107" s="4">
        <f t="shared" si="11"/>
        <v>49.642070484581502</v>
      </c>
      <c r="F107" s="5">
        <v>42846</v>
      </c>
      <c r="G107" t="s">
        <v>50</v>
      </c>
      <c r="H107" t="s">
        <v>47</v>
      </c>
      <c r="I107" t="s">
        <v>51</v>
      </c>
      <c r="J107" t="s">
        <v>16</v>
      </c>
      <c r="K107" s="4">
        <f t="shared" si="12"/>
        <v>3005</v>
      </c>
      <c r="L107">
        <f t="shared" si="9"/>
        <v>0</v>
      </c>
    </row>
    <row r="108" spans="1:12" x14ac:dyDescent="0.35">
      <c r="A108">
        <f t="shared" si="10"/>
        <v>125</v>
      </c>
      <c r="B108" t="s">
        <v>167</v>
      </c>
      <c r="C108" s="4">
        <f>6+456/454</f>
        <v>7.0044052863436121</v>
      </c>
      <c r="D108" s="4">
        <v>7.5</v>
      </c>
      <c r="E108" s="4">
        <f t="shared" si="11"/>
        <v>52.533039647577091</v>
      </c>
      <c r="F108" s="5">
        <v>42846</v>
      </c>
      <c r="G108" t="s">
        <v>50</v>
      </c>
      <c r="H108" t="s">
        <v>47</v>
      </c>
      <c r="I108" t="s">
        <v>51</v>
      </c>
      <c r="J108" t="s">
        <v>16</v>
      </c>
      <c r="K108" s="4">
        <f t="shared" si="12"/>
        <v>3180</v>
      </c>
      <c r="L108">
        <f t="shared" si="9"/>
        <v>0</v>
      </c>
    </row>
    <row r="109" spans="1:12" x14ac:dyDescent="0.35">
      <c r="A109">
        <f t="shared" si="10"/>
        <v>126</v>
      </c>
      <c r="B109" t="s">
        <v>168</v>
      </c>
      <c r="C109" s="4">
        <f>6+416/454</f>
        <v>6.9162995594713657</v>
      </c>
      <c r="D109" s="4">
        <v>7</v>
      </c>
      <c r="E109" s="4">
        <f t="shared" si="11"/>
        <v>48.414096916299556</v>
      </c>
      <c r="F109" s="5">
        <v>42944</v>
      </c>
      <c r="G109" t="s">
        <v>50</v>
      </c>
      <c r="H109" t="s">
        <v>47</v>
      </c>
      <c r="I109" s="2" t="s">
        <v>64</v>
      </c>
      <c r="J109" t="s">
        <v>16</v>
      </c>
      <c r="K109" s="4">
        <f t="shared" si="12"/>
        <v>3140</v>
      </c>
      <c r="L109">
        <f t="shared" si="9"/>
        <v>0</v>
      </c>
    </row>
    <row r="110" spans="1:12" x14ac:dyDescent="0.35">
      <c r="A110">
        <f t="shared" si="10"/>
        <v>127</v>
      </c>
      <c r="B110" t="s">
        <v>169</v>
      </c>
      <c r="C110" s="4">
        <f>(525-645)/454+5</f>
        <v>4.7356828193832596</v>
      </c>
      <c r="D110" s="4">
        <v>6.3</v>
      </c>
      <c r="E110" s="4">
        <f t="shared" si="11"/>
        <v>29.834801762114534</v>
      </c>
      <c r="F110" s="5">
        <v>42960</v>
      </c>
      <c r="G110" t="s">
        <v>13</v>
      </c>
      <c r="H110" t="s">
        <v>47</v>
      </c>
      <c r="I110" t="s">
        <v>102</v>
      </c>
      <c r="J110" t="s">
        <v>16</v>
      </c>
      <c r="K110" s="4">
        <f t="shared" si="12"/>
        <v>2150</v>
      </c>
      <c r="L110">
        <f t="shared" si="9"/>
        <v>0</v>
      </c>
    </row>
    <row r="111" spans="1:12" x14ac:dyDescent="0.35">
      <c r="A111">
        <f t="shared" si="10"/>
        <v>128</v>
      </c>
      <c r="B111" t="s">
        <v>170</v>
      </c>
      <c r="C111" s="4">
        <f>6+(71-215)/454</f>
        <v>5.6828193832599121</v>
      </c>
      <c r="D111" s="4">
        <v>11.5</v>
      </c>
      <c r="E111" s="4">
        <f t="shared" si="11"/>
        <v>65.352422907488986</v>
      </c>
      <c r="F111" s="5">
        <v>43035</v>
      </c>
      <c r="G111" t="s">
        <v>50</v>
      </c>
      <c r="H111" t="s">
        <v>47</v>
      </c>
      <c r="I111" t="s">
        <v>51</v>
      </c>
      <c r="J111" t="s">
        <v>16</v>
      </c>
      <c r="K111" s="4">
        <f t="shared" si="12"/>
        <v>2580</v>
      </c>
      <c r="L111">
        <f t="shared" si="9"/>
        <v>0</v>
      </c>
    </row>
    <row r="112" spans="1:12" x14ac:dyDescent="0.35">
      <c r="A112">
        <f t="shared" si="10"/>
        <v>129</v>
      </c>
      <c r="B112" t="s">
        <v>171</v>
      </c>
      <c r="C112" s="4">
        <f>5-5/454</f>
        <v>4.9889867841409687</v>
      </c>
      <c r="D112" s="4">
        <v>7.5</v>
      </c>
      <c r="E112" s="4">
        <f t="shared" si="11"/>
        <v>37.417400881057269</v>
      </c>
      <c r="F112" s="5">
        <v>43058</v>
      </c>
      <c r="G112" t="s">
        <v>13</v>
      </c>
      <c r="H112" t="s">
        <v>34</v>
      </c>
      <c r="I112" t="s">
        <v>87</v>
      </c>
      <c r="J112" t="s">
        <v>16</v>
      </c>
      <c r="K112" s="4">
        <f t="shared" si="12"/>
        <v>2265</v>
      </c>
      <c r="L112">
        <f t="shared" si="9"/>
        <v>0</v>
      </c>
    </row>
    <row r="113" spans="1:12" x14ac:dyDescent="0.35">
      <c r="A113">
        <f t="shared" si="10"/>
        <v>130</v>
      </c>
      <c r="B113" t="s">
        <v>172</v>
      </c>
      <c r="C113" s="4">
        <f>15/454+5</f>
        <v>5.0330396475770929</v>
      </c>
      <c r="D113" s="4">
        <v>5.8</v>
      </c>
      <c r="E113" s="4">
        <f t="shared" si="11"/>
        <v>29.191629955947139</v>
      </c>
      <c r="F113" s="5">
        <v>43110</v>
      </c>
      <c r="G113" t="s">
        <v>173</v>
      </c>
      <c r="H113" t="s">
        <v>22</v>
      </c>
      <c r="I113" t="s">
        <v>71</v>
      </c>
      <c r="J113" t="s">
        <v>16</v>
      </c>
      <c r="K113" s="4">
        <f t="shared" si="12"/>
        <v>2285</v>
      </c>
      <c r="L113">
        <f t="shared" si="9"/>
        <v>0</v>
      </c>
    </row>
    <row r="114" spans="1:12" x14ac:dyDescent="0.35">
      <c r="A114">
        <f t="shared" si="10"/>
        <v>131</v>
      </c>
      <c r="B114" t="s">
        <v>174</v>
      </c>
      <c r="C114" s="4">
        <f>5-85/454</f>
        <v>4.8127753303964758</v>
      </c>
      <c r="D114" s="4">
        <v>6</v>
      </c>
      <c r="E114" s="4">
        <f t="shared" si="11"/>
        <v>28.876651982378853</v>
      </c>
      <c r="F114" s="5">
        <v>43110</v>
      </c>
      <c r="G114" t="s">
        <v>173</v>
      </c>
      <c r="H114" t="s">
        <v>22</v>
      </c>
      <c r="I114" t="s">
        <v>25</v>
      </c>
      <c r="J114" t="s">
        <v>16</v>
      </c>
      <c r="K114" s="4">
        <f t="shared" si="12"/>
        <v>2185</v>
      </c>
      <c r="L114">
        <f t="shared" si="9"/>
        <v>0</v>
      </c>
    </row>
    <row r="115" spans="1:12" x14ac:dyDescent="0.35">
      <c r="A115">
        <f t="shared" si="10"/>
        <v>132</v>
      </c>
      <c r="B115" t="s">
        <v>175</v>
      </c>
      <c r="C115" s="4">
        <f>6-200/454</f>
        <v>5.5594713656387666</v>
      </c>
      <c r="D115" s="4">
        <v>8.5</v>
      </c>
      <c r="E115" s="4">
        <f t="shared" si="11"/>
        <v>47.255506607929519</v>
      </c>
      <c r="F115" s="5">
        <v>43125</v>
      </c>
      <c r="G115" t="s">
        <v>13</v>
      </c>
      <c r="H115" t="s">
        <v>22</v>
      </c>
      <c r="I115" t="s">
        <v>25</v>
      </c>
      <c r="J115" t="s">
        <v>16</v>
      </c>
      <c r="K115" s="4">
        <f t="shared" si="12"/>
        <v>2524</v>
      </c>
      <c r="L115">
        <f t="shared" si="9"/>
        <v>0</v>
      </c>
    </row>
    <row r="116" spans="1:12" x14ac:dyDescent="0.35">
      <c r="A116">
        <f t="shared" si="10"/>
        <v>133</v>
      </c>
      <c r="B116" t="s">
        <v>176</v>
      </c>
      <c r="C116" s="4">
        <f>5+(195-215)/454</f>
        <v>4.9559471365638768</v>
      </c>
      <c r="D116" s="4">
        <v>8</v>
      </c>
      <c r="E116" s="4">
        <f t="shared" si="11"/>
        <v>39.647577092511014</v>
      </c>
      <c r="F116" s="5">
        <v>43190</v>
      </c>
      <c r="G116" t="s">
        <v>13</v>
      </c>
      <c r="H116" t="s">
        <v>22</v>
      </c>
      <c r="I116" t="s">
        <v>25</v>
      </c>
      <c r="J116" t="s">
        <v>16</v>
      </c>
      <c r="K116" s="4">
        <f t="shared" si="12"/>
        <v>2250</v>
      </c>
      <c r="L116">
        <f t="shared" si="9"/>
        <v>0</v>
      </c>
    </row>
    <row r="117" spans="1:12" x14ac:dyDescent="0.35">
      <c r="A117">
        <f t="shared" si="10"/>
        <v>134</v>
      </c>
      <c r="B117" t="s">
        <v>177</v>
      </c>
      <c r="C117" s="4">
        <f>5-65/454</f>
        <v>4.856828193832599</v>
      </c>
      <c r="D117" s="4">
        <v>5</v>
      </c>
      <c r="E117" s="4">
        <f t="shared" si="11"/>
        <v>24.284140969162994</v>
      </c>
      <c r="F117" s="5">
        <v>43192</v>
      </c>
      <c r="G117" t="s">
        <v>13</v>
      </c>
      <c r="H117" t="s">
        <v>30</v>
      </c>
      <c r="I117" t="s">
        <v>119</v>
      </c>
      <c r="J117" t="s">
        <v>16</v>
      </c>
      <c r="K117" s="4">
        <f t="shared" si="12"/>
        <v>2205</v>
      </c>
      <c r="L117">
        <f t="shared" si="9"/>
        <v>0</v>
      </c>
    </row>
    <row r="118" spans="1:12" x14ac:dyDescent="0.35">
      <c r="A118">
        <f t="shared" si="10"/>
        <v>135</v>
      </c>
      <c r="B118" t="s">
        <v>178</v>
      </c>
      <c r="C118" s="4">
        <f>5-65/454</f>
        <v>4.856828193832599</v>
      </c>
      <c r="D118" s="4">
        <v>9</v>
      </c>
      <c r="E118" s="4">
        <f t="shared" si="11"/>
        <v>43.71145374449339</v>
      </c>
      <c r="F118" s="5">
        <v>43207</v>
      </c>
      <c r="G118" t="s">
        <v>78</v>
      </c>
      <c r="H118" t="s">
        <v>47</v>
      </c>
      <c r="I118" t="s">
        <v>48</v>
      </c>
      <c r="J118" t="s">
        <v>16</v>
      </c>
      <c r="K118" s="4">
        <f t="shared" si="12"/>
        <v>2205</v>
      </c>
      <c r="L118">
        <f t="shared" si="9"/>
        <v>0</v>
      </c>
    </row>
    <row r="119" spans="1:12" x14ac:dyDescent="0.35">
      <c r="A119">
        <f t="shared" si="10"/>
        <v>136</v>
      </c>
      <c r="B119" t="s">
        <v>179</v>
      </c>
      <c r="C119" s="4">
        <f>6+70/454</f>
        <v>6.1541850220264314</v>
      </c>
      <c r="D119" s="4">
        <v>7.5</v>
      </c>
      <c r="E119" s="4">
        <f t="shared" si="11"/>
        <v>46.156387665198238</v>
      </c>
      <c r="F119" s="5">
        <v>43212</v>
      </c>
      <c r="G119" t="s">
        <v>180</v>
      </c>
      <c r="H119" t="s">
        <v>84</v>
      </c>
      <c r="I119" t="s">
        <v>84</v>
      </c>
      <c r="J119" t="s">
        <v>16</v>
      </c>
      <c r="K119" s="4">
        <f t="shared" si="12"/>
        <v>2794</v>
      </c>
      <c r="L119">
        <f t="shared" si="9"/>
        <v>0</v>
      </c>
    </row>
    <row r="120" spans="1:12" x14ac:dyDescent="0.35">
      <c r="A120">
        <f t="shared" si="10"/>
        <v>137</v>
      </c>
      <c r="B120" t="s">
        <v>181</v>
      </c>
      <c r="C120" s="4">
        <f>5-320/454</f>
        <v>4.2951541850220263</v>
      </c>
      <c r="D120" s="4">
        <v>5</v>
      </c>
      <c r="E120" s="4">
        <f t="shared" si="11"/>
        <v>21.475770925110133</v>
      </c>
      <c r="F120" s="5">
        <v>43248</v>
      </c>
      <c r="G120" t="s">
        <v>173</v>
      </c>
      <c r="H120" t="s">
        <v>47</v>
      </c>
      <c r="I120" t="s">
        <v>92</v>
      </c>
      <c r="J120" t="s">
        <v>16</v>
      </c>
      <c r="K120" s="4">
        <f t="shared" si="12"/>
        <v>1950</v>
      </c>
      <c r="L120">
        <f t="shared" si="9"/>
        <v>0</v>
      </c>
    </row>
    <row r="121" spans="1:12" x14ac:dyDescent="0.35">
      <c r="A121">
        <f t="shared" si="10"/>
        <v>138</v>
      </c>
      <c r="B121" t="s">
        <v>182</v>
      </c>
      <c r="C121" s="4">
        <f>5-120/454</f>
        <v>4.7356828193832596</v>
      </c>
      <c r="D121" s="4">
        <v>5.8</v>
      </c>
      <c r="E121" s="4">
        <f t="shared" si="11"/>
        <v>27.466960352422905</v>
      </c>
      <c r="F121" s="5">
        <v>43248</v>
      </c>
      <c r="G121" t="s">
        <v>173</v>
      </c>
      <c r="H121" t="s">
        <v>22</v>
      </c>
      <c r="I121" t="s">
        <v>25</v>
      </c>
      <c r="J121" t="s">
        <v>16</v>
      </c>
      <c r="K121" s="4">
        <f t="shared" si="12"/>
        <v>2150</v>
      </c>
      <c r="L121">
        <f t="shared" si="9"/>
        <v>0</v>
      </c>
    </row>
    <row r="122" spans="1:12" x14ac:dyDescent="0.35">
      <c r="A122">
        <f t="shared" si="10"/>
        <v>139</v>
      </c>
      <c r="B122" t="s">
        <v>183</v>
      </c>
      <c r="C122" s="4">
        <f>95/454+5</f>
        <v>5.2092511013215859</v>
      </c>
      <c r="D122" s="4">
        <v>8.5</v>
      </c>
      <c r="E122" s="4">
        <f t="shared" si="11"/>
        <v>44.278634361233479</v>
      </c>
      <c r="F122" s="5">
        <v>43250</v>
      </c>
      <c r="G122" t="s">
        <v>13</v>
      </c>
      <c r="H122" t="s">
        <v>47</v>
      </c>
      <c r="I122" s="2" t="s">
        <v>19</v>
      </c>
      <c r="J122" t="s">
        <v>16</v>
      </c>
      <c r="K122" s="4">
        <f t="shared" si="12"/>
        <v>2365</v>
      </c>
      <c r="L122">
        <f t="shared" si="9"/>
        <v>0</v>
      </c>
    </row>
    <row r="123" spans="1:12" x14ac:dyDescent="0.35">
      <c r="A123">
        <f t="shared" si="10"/>
        <v>140</v>
      </c>
      <c r="B123" t="s">
        <v>184</v>
      </c>
      <c r="C123" s="4">
        <f>5-125/454</f>
        <v>4.7246696035242293</v>
      </c>
      <c r="D123" s="4">
        <v>8</v>
      </c>
      <c r="E123" s="4">
        <f t="shared" si="11"/>
        <v>37.797356828193834</v>
      </c>
      <c r="F123" s="5">
        <v>43250</v>
      </c>
      <c r="G123" t="s">
        <v>13</v>
      </c>
      <c r="H123" t="s">
        <v>47</v>
      </c>
      <c r="I123" s="2" t="s">
        <v>64</v>
      </c>
      <c r="J123" t="s">
        <v>16</v>
      </c>
      <c r="K123" s="4">
        <f t="shared" si="12"/>
        <v>2145</v>
      </c>
      <c r="L123">
        <f t="shared" si="9"/>
        <v>0</v>
      </c>
    </row>
    <row r="124" spans="1:12" x14ac:dyDescent="0.35">
      <c r="A124">
        <f t="shared" si="10"/>
        <v>141</v>
      </c>
      <c r="B124" t="s">
        <v>185</v>
      </c>
      <c r="C124" s="4">
        <v>12</v>
      </c>
      <c r="D124" s="4">
        <v>9.5</v>
      </c>
      <c r="E124" s="4">
        <f t="shared" si="11"/>
        <v>114</v>
      </c>
      <c r="F124" s="5">
        <v>43237</v>
      </c>
      <c r="G124" t="s">
        <v>186</v>
      </c>
      <c r="H124" t="s">
        <v>161</v>
      </c>
      <c r="I124" t="s">
        <v>43</v>
      </c>
      <c r="J124" t="s">
        <v>16</v>
      </c>
      <c r="K124" s="4">
        <f t="shared" si="12"/>
        <v>5448</v>
      </c>
      <c r="L124">
        <f t="shared" si="9"/>
        <v>308</v>
      </c>
    </row>
    <row r="125" spans="1:12" x14ac:dyDescent="0.35">
      <c r="A125">
        <f t="shared" si="10"/>
        <v>142</v>
      </c>
      <c r="B125" t="s">
        <v>187</v>
      </c>
      <c r="C125" s="4">
        <f>5-125/454</f>
        <v>4.7246696035242293</v>
      </c>
      <c r="D125" s="4">
        <v>6.5</v>
      </c>
      <c r="E125" s="4">
        <f t="shared" si="11"/>
        <v>30.710352422907491</v>
      </c>
      <c r="F125" s="5">
        <v>43360</v>
      </c>
      <c r="G125" t="s">
        <v>186</v>
      </c>
      <c r="H125" t="s">
        <v>47</v>
      </c>
      <c r="I125" t="s">
        <v>188</v>
      </c>
      <c r="J125" t="s">
        <v>16</v>
      </c>
      <c r="K125" s="4">
        <f t="shared" si="12"/>
        <v>2145</v>
      </c>
      <c r="L125">
        <f t="shared" si="9"/>
        <v>0</v>
      </c>
    </row>
    <row r="126" spans="1:12" x14ac:dyDescent="0.35">
      <c r="A126">
        <f t="shared" si="10"/>
        <v>143</v>
      </c>
      <c r="B126" t="s">
        <v>189</v>
      </c>
      <c r="C126" s="4">
        <f>5-140/454</f>
        <v>4.6916299559471364</v>
      </c>
      <c r="D126" s="4">
        <v>6.25</v>
      </c>
      <c r="E126" s="4">
        <f t="shared" si="11"/>
        <v>29.322687224669604</v>
      </c>
      <c r="F126" s="5">
        <v>43398</v>
      </c>
      <c r="G126" t="s">
        <v>13</v>
      </c>
      <c r="H126" t="s">
        <v>190</v>
      </c>
      <c r="I126" t="s">
        <v>191</v>
      </c>
      <c r="J126" t="s">
        <v>16</v>
      </c>
      <c r="K126" s="4">
        <f t="shared" si="12"/>
        <v>2130</v>
      </c>
      <c r="L126">
        <f t="shared" si="9"/>
        <v>0</v>
      </c>
    </row>
    <row r="127" spans="1:12" x14ac:dyDescent="0.35">
      <c r="A127">
        <f t="shared" si="10"/>
        <v>144</v>
      </c>
      <c r="B127" t="s">
        <v>192</v>
      </c>
      <c r="C127" s="4">
        <f>5+(95-215)/454</f>
        <v>4.7356828193832596</v>
      </c>
      <c r="D127" s="4">
        <v>7.5</v>
      </c>
      <c r="E127" s="4">
        <f t="shared" si="11"/>
        <v>35.517621145374449</v>
      </c>
      <c r="F127" s="5">
        <v>43504</v>
      </c>
      <c r="G127" t="s">
        <v>173</v>
      </c>
      <c r="H127" t="s">
        <v>22</v>
      </c>
      <c r="I127" t="s">
        <v>71</v>
      </c>
      <c r="J127" t="s">
        <v>16</v>
      </c>
      <c r="K127" s="4">
        <f t="shared" si="12"/>
        <v>2150</v>
      </c>
      <c r="L127">
        <f t="shared" si="9"/>
        <v>0</v>
      </c>
    </row>
    <row r="128" spans="1:12" x14ac:dyDescent="0.35">
      <c r="A128">
        <f t="shared" si="10"/>
        <v>145</v>
      </c>
      <c r="B128" t="s">
        <v>193</v>
      </c>
      <c r="C128" s="4">
        <f>5-125/454</f>
        <v>4.7246696035242293</v>
      </c>
      <c r="D128" s="4">
        <v>8</v>
      </c>
      <c r="E128" s="4">
        <f t="shared" si="11"/>
        <v>37.797356828193834</v>
      </c>
      <c r="F128" s="5">
        <v>43398</v>
      </c>
      <c r="G128" t="s">
        <v>13</v>
      </c>
      <c r="H128" t="s">
        <v>34</v>
      </c>
      <c r="I128" t="s">
        <v>35</v>
      </c>
      <c r="J128" t="s">
        <v>16</v>
      </c>
      <c r="K128" s="4">
        <f t="shared" si="12"/>
        <v>2145</v>
      </c>
      <c r="L128">
        <f t="shared" si="9"/>
        <v>0</v>
      </c>
    </row>
    <row r="129" spans="1:12" x14ac:dyDescent="0.35">
      <c r="A129">
        <f t="shared" si="10"/>
        <v>146</v>
      </c>
      <c r="B129" t="s">
        <v>194</v>
      </c>
      <c r="C129" s="4">
        <f>5+(140)/454</f>
        <v>5.3083700440528636</v>
      </c>
      <c r="D129" s="4">
        <v>7</v>
      </c>
      <c r="E129" s="4">
        <f t="shared" si="11"/>
        <v>37.158590308370044</v>
      </c>
      <c r="F129" s="5">
        <v>43553</v>
      </c>
      <c r="G129" t="s">
        <v>13</v>
      </c>
      <c r="H129" t="s">
        <v>22</v>
      </c>
      <c r="I129" t="s">
        <v>25</v>
      </c>
      <c r="J129" t="s">
        <v>16</v>
      </c>
      <c r="K129" s="4">
        <f t="shared" si="12"/>
        <v>2410</v>
      </c>
      <c r="L129">
        <f t="shared" si="9"/>
        <v>280</v>
      </c>
    </row>
    <row r="130" spans="1:12" x14ac:dyDescent="0.35">
      <c r="A130">
        <f t="shared" si="10"/>
        <v>147</v>
      </c>
      <c r="B130" s="2" t="s">
        <v>195</v>
      </c>
      <c r="C130" s="4">
        <v>5</v>
      </c>
      <c r="D130" s="4">
        <v>5</v>
      </c>
      <c r="E130" s="4">
        <f t="shared" si="11"/>
        <v>25</v>
      </c>
      <c r="F130" s="5">
        <v>43580</v>
      </c>
      <c r="G130" t="s">
        <v>13</v>
      </c>
      <c r="H130" t="s">
        <v>30</v>
      </c>
      <c r="I130" t="s">
        <v>119</v>
      </c>
      <c r="J130" t="s">
        <v>16</v>
      </c>
      <c r="K130" s="4">
        <f t="shared" si="12"/>
        <v>2270</v>
      </c>
      <c r="L130">
        <f t="shared" si="9"/>
        <v>1860</v>
      </c>
    </row>
    <row r="131" spans="1:12" x14ac:dyDescent="0.35">
      <c r="A131">
        <f t="shared" si="10"/>
        <v>148</v>
      </c>
      <c r="B131" t="s">
        <v>196</v>
      </c>
      <c r="C131" s="4">
        <v>5</v>
      </c>
      <c r="D131" s="4">
        <v>7.5</v>
      </c>
      <c r="E131" s="4">
        <f t="shared" si="11"/>
        <v>37.5</v>
      </c>
      <c r="F131" s="5">
        <v>43606</v>
      </c>
      <c r="G131" t="s">
        <v>13</v>
      </c>
      <c r="H131" t="s">
        <v>47</v>
      </c>
      <c r="I131" t="s">
        <v>48</v>
      </c>
      <c r="J131" t="s">
        <v>16</v>
      </c>
      <c r="K131" s="4">
        <f t="shared" si="12"/>
        <v>2270</v>
      </c>
      <c r="L131">
        <f t="shared" si="9"/>
        <v>45</v>
      </c>
    </row>
    <row r="132" spans="1:12" x14ac:dyDescent="0.35">
      <c r="A132">
        <f t="shared" si="10"/>
        <v>149</v>
      </c>
      <c r="B132" t="s">
        <v>197</v>
      </c>
      <c r="C132" s="4">
        <v>5</v>
      </c>
      <c r="D132" s="4">
        <v>7.4</v>
      </c>
      <c r="E132" s="4">
        <f t="shared" si="11"/>
        <v>37</v>
      </c>
      <c r="F132" s="5">
        <v>43447</v>
      </c>
      <c r="G132" t="s">
        <v>13</v>
      </c>
      <c r="H132" t="s">
        <v>22</v>
      </c>
      <c r="I132" t="s">
        <v>25</v>
      </c>
      <c r="J132" t="s">
        <v>16</v>
      </c>
      <c r="K132" s="4">
        <f t="shared" si="12"/>
        <v>2270</v>
      </c>
      <c r="L132">
        <f t="shared" si="9"/>
        <v>0</v>
      </c>
    </row>
    <row r="133" spans="1:12" x14ac:dyDescent="0.35">
      <c r="A133">
        <f t="shared" si="10"/>
        <v>150</v>
      </c>
      <c r="B133" t="s">
        <v>198</v>
      </c>
      <c r="C133" s="4">
        <f>5-125/454</f>
        <v>4.7246696035242293</v>
      </c>
      <c r="D133" s="4">
        <v>8.6999999999999993</v>
      </c>
      <c r="E133" s="4">
        <f t="shared" si="11"/>
        <v>41.104625550660792</v>
      </c>
      <c r="F133" s="5">
        <v>43670</v>
      </c>
      <c r="G133" t="s">
        <v>78</v>
      </c>
      <c r="H133" t="s">
        <v>22</v>
      </c>
      <c r="I133" t="s">
        <v>25</v>
      </c>
      <c r="J133" t="s">
        <v>16</v>
      </c>
      <c r="K133" s="4">
        <f t="shared" si="12"/>
        <v>2145</v>
      </c>
      <c r="L133">
        <f t="shared" ref="L133:L135" si="13">HLOOKUP(A133,$N$1:$HZ$2,2)</f>
        <v>0</v>
      </c>
    </row>
    <row r="134" spans="1:12" x14ac:dyDescent="0.35">
      <c r="A134">
        <f t="shared" si="10"/>
        <v>151</v>
      </c>
      <c r="B134" t="s">
        <v>199</v>
      </c>
      <c r="C134" s="4">
        <v>5</v>
      </c>
      <c r="D134" s="4">
        <v>14.8</v>
      </c>
      <c r="E134" s="4">
        <f t="shared" si="11"/>
        <v>74</v>
      </c>
      <c r="F134" s="5">
        <v>43672</v>
      </c>
      <c r="G134" t="s">
        <v>200</v>
      </c>
      <c r="H134" t="s">
        <v>161</v>
      </c>
      <c r="I134" t="s">
        <v>43</v>
      </c>
      <c r="J134" t="s">
        <v>16</v>
      </c>
      <c r="K134" s="4">
        <f t="shared" si="12"/>
        <v>2270</v>
      </c>
      <c r="L134">
        <f t="shared" si="13"/>
        <v>105</v>
      </c>
    </row>
    <row r="135" spans="1:12" x14ac:dyDescent="0.35">
      <c r="A135">
        <f t="shared" si="10"/>
        <v>152</v>
      </c>
      <c r="B135" t="s">
        <v>201</v>
      </c>
      <c r="C135" s="4">
        <v>5</v>
      </c>
      <c r="D135" s="4">
        <v>6.3</v>
      </c>
      <c r="E135" s="4">
        <f t="shared" si="11"/>
        <v>31.5</v>
      </c>
      <c r="F135" s="5">
        <v>43670</v>
      </c>
      <c r="G135" t="s">
        <v>200</v>
      </c>
      <c r="H135" t="s">
        <v>47</v>
      </c>
      <c r="I135" t="s">
        <v>188</v>
      </c>
      <c r="J135" t="s">
        <v>16</v>
      </c>
      <c r="K135" s="4">
        <f t="shared" si="12"/>
        <v>2270</v>
      </c>
      <c r="L135">
        <f t="shared" si="13"/>
        <v>65</v>
      </c>
    </row>
    <row r="136" spans="1:12" x14ac:dyDescent="0.35">
      <c r="A136">
        <f t="shared" si="10"/>
        <v>153</v>
      </c>
      <c r="B136" t="s">
        <v>202</v>
      </c>
      <c r="C136" s="4">
        <v>5</v>
      </c>
      <c r="D136" s="4">
        <v>10.4</v>
      </c>
      <c r="E136" s="4">
        <f>D136*C136</f>
        <v>52</v>
      </c>
      <c r="F136" s="5">
        <v>43742</v>
      </c>
      <c r="G136" t="s">
        <v>27</v>
      </c>
      <c r="H136" t="s">
        <v>161</v>
      </c>
      <c r="I136" t="s">
        <v>43</v>
      </c>
      <c r="J136" t="s">
        <v>16</v>
      </c>
      <c r="K136" s="4">
        <f>454*C136</f>
        <v>2270</v>
      </c>
      <c r="L136">
        <f>HLOOKUP(A136,$N$1:$HZ$2,2)</f>
        <v>120</v>
      </c>
    </row>
    <row r="137" spans="1:12" x14ac:dyDescent="0.35">
      <c r="A137">
        <f t="shared" si="10"/>
        <v>154</v>
      </c>
      <c r="B137" t="s">
        <v>203</v>
      </c>
      <c r="C137" s="4">
        <v>6</v>
      </c>
      <c r="D137" s="4">
        <v>9.8000000000000007</v>
      </c>
      <c r="E137" s="4">
        <f>D137*C137</f>
        <v>58.800000000000004</v>
      </c>
      <c r="F137" s="5">
        <v>43742</v>
      </c>
      <c r="G137" t="s">
        <v>50</v>
      </c>
      <c r="H137" t="s">
        <v>47</v>
      </c>
      <c r="I137" t="s">
        <v>51</v>
      </c>
      <c r="J137" t="s">
        <v>16</v>
      </c>
      <c r="K137" s="4">
        <f>454*C137</f>
        <v>2724</v>
      </c>
      <c r="L137">
        <f>HLOOKUP(A137,$N$1:$HZ$2,2)</f>
        <v>-71</v>
      </c>
    </row>
    <row r="138" spans="1:12" x14ac:dyDescent="0.35">
      <c r="A138">
        <f t="shared" si="10"/>
        <v>155</v>
      </c>
      <c r="B138" t="s">
        <v>204</v>
      </c>
      <c r="C138" s="4">
        <f>10+50/454</f>
        <v>10.110132158590309</v>
      </c>
      <c r="D138" s="4">
        <v>6.5</v>
      </c>
      <c r="E138" s="4">
        <f t="shared" ref="E138:E151" si="14">D138*C138</f>
        <v>65.715859030837009</v>
      </c>
      <c r="F138" s="5">
        <v>43832</v>
      </c>
      <c r="G138" t="s">
        <v>13</v>
      </c>
      <c r="H138" t="s">
        <v>22</v>
      </c>
      <c r="I138" t="s">
        <v>25</v>
      </c>
      <c r="J138" t="s">
        <v>16</v>
      </c>
      <c r="K138" s="4">
        <f t="shared" ref="K138:K151" si="15">454*C138</f>
        <v>4590</v>
      </c>
      <c r="L138">
        <f t="shared" ref="L138:L151" si="16">HLOOKUP(A138,$N$1:$HZ$2,2)</f>
        <v>0</v>
      </c>
    </row>
    <row r="139" spans="1:12" x14ac:dyDescent="0.35">
      <c r="A139">
        <f t="shared" si="10"/>
        <v>156</v>
      </c>
      <c r="B139" t="s">
        <v>205</v>
      </c>
      <c r="C139" s="4">
        <v>5</v>
      </c>
      <c r="D139" s="4">
        <v>6.2</v>
      </c>
      <c r="E139" s="4">
        <f t="shared" si="14"/>
        <v>31</v>
      </c>
      <c r="F139" s="5">
        <v>43967</v>
      </c>
      <c r="G139" t="s">
        <v>27</v>
      </c>
      <c r="H139" t="s">
        <v>22</v>
      </c>
      <c r="I139" t="s">
        <v>71</v>
      </c>
      <c r="J139" t="s">
        <v>16</v>
      </c>
      <c r="K139" s="4">
        <f t="shared" si="15"/>
        <v>2270</v>
      </c>
      <c r="L139">
        <f t="shared" si="16"/>
        <v>-30</v>
      </c>
    </row>
    <row r="140" spans="1:12" x14ac:dyDescent="0.35">
      <c r="A140">
        <f t="shared" si="10"/>
        <v>157</v>
      </c>
      <c r="B140" t="s">
        <v>206</v>
      </c>
      <c r="C140" s="4">
        <v>5</v>
      </c>
      <c r="D140" s="4">
        <v>6</v>
      </c>
      <c r="E140" s="4">
        <f t="shared" si="14"/>
        <v>30</v>
      </c>
      <c r="F140" s="5">
        <v>43967</v>
      </c>
      <c r="G140" t="s">
        <v>27</v>
      </c>
      <c r="H140" t="s">
        <v>22</v>
      </c>
      <c r="I140" t="s">
        <v>207</v>
      </c>
      <c r="J140" t="s">
        <v>16</v>
      </c>
      <c r="K140" s="4">
        <f t="shared" si="15"/>
        <v>2270</v>
      </c>
      <c r="L140">
        <f t="shared" si="16"/>
        <v>-490</v>
      </c>
    </row>
    <row r="141" spans="1:12" x14ac:dyDescent="0.35">
      <c r="A141">
        <f t="shared" si="10"/>
        <v>158</v>
      </c>
      <c r="B141" t="s">
        <v>208</v>
      </c>
      <c r="C141" s="4">
        <v>5</v>
      </c>
      <c r="D141" s="4">
        <v>5.6</v>
      </c>
      <c r="E141" s="4">
        <f t="shared" si="14"/>
        <v>28</v>
      </c>
      <c r="F141" s="5">
        <v>43967</v>
      </c>
      <c r="G141" t="s">
        <v>27</v>
      </c>
      <c r="H141" t="s">
        <v>22</v>
      </c>
      <c r="I141" t="s">
        <v>25</v>
      </c>
      <c r="J141" t="s">
        <v>16</v>
      </c>
      <c r="K141" s="4">
        <f t="shared" si="15"/>
        <v>2270</v>
      </c>
      <c r="L141">
        <f t="shared" si="16"/>
        <v>120</v>
      </c>
    </row>
    <row r="142" spans="1:12" x14ac:dyDescent="0.35">
      <c r="A142">
        <f t="shared" si="10"/>
        <v>159</v>
      </c>
      <c r="B142" t="s">
        <v>209</v>
      </c>
      <c r="C142" s="4">
        <f>5-5/454</f>
        <v>4.9889867841409687</v>
      </c>
      <c r="D142" s="4">
        <v>6.6</v>
      </c>
      <c r="E142" s="4">
        <f t="shared" si="14"/>
        <v>32.927312775330392</v>
      </c>
      <c r="F142" s="5">
        <v>44006</v>
      </c>
      <c r="G142" t="s">
        <v>173</v>
      </c>
      <c r="H142" t="s">
        <v>22</v>
      </c>
      <c r="I142" t="s">
        <v>71</v>
      </c>
      <c r="J142" t="s">
        <v>16</v>
      </c>
      <c r="K142" s="4">
        <f t="shared" si="15"/>
        <v>2265</v>
      </c>
      <c r="L142">
        <f t="shared" si="16"/>
        <v>0</v>
      </c>
    </row>
    <row r="143" spans="1:12" x14ac:dyDescent="0.35">
      <c r="A143">
        <f t="shared" ref="A143:A163" si="17">1+A142</f>
        <v>160</v>
      </c>
      <c r="B143" t="s">
        <v>210</v>
      </c>
      <c r="C143" s="4">
        <v>5</v>
      </c>
      <c r="D143" s="4">
        <v>8</v>
      </c>
      <c r="E143" s="4">
        <f t="shared" si="14"/>
        <v>40</v>
      </c>
      <c r="F143" s="5">
        <v>44017</v>
      </c>
      <c r="G143" t="s">
        <v>13</v>
      </c>
      <c r="H143" t="s">
        <v>34</v>
      </c>
      <c r="I143" t="s">
        <v>35</v>
      </c>
      <c r="J143" t="s">
        <v>16</v>
      </c>
      <c r="K143" s="4">
        <f t="shared" si="15"/>
        <v>2270</v>
      </c>
      <c r="L143">
        <f t="shared" si="16"/>
        <v>105</v>
      </c>
    </row>
    <row r="144" spans="1:12" x14ac:dyDescent="0.35">
      <c r="A144">
        <f t="shared" si="17"/>
        <v>161</v>
      </c>
      <c r="B144" t="s">
        <v>211</v>
      </c>
      <c r="C144" s="4">
        <v>5</v>
      </c>
      <c r="D144" s="4">
        <v>8</v>
      </c>
      <c r="E144" s="4">
        <f t="shared" si="14"/>
        <v>40</v>
      </c>
      <c r="F144" s="5">
        <v>44014</v>
      </c>
      <c r="G144" t="s">
        <v>50</v>
      </c>
      <c r="H144" t="s">
        <v>47</v>
      </c>
      <c r="I144" t="s">
        <v>92</v>
      </c>
      <c r="J144" t="s">
        <v>16</v>
      </c>
      <c r="K144" s="4">
        <f t="shared" si="15"/>
        <v>2270</v>
      </c>
      <c r="L144">
        <f t="shared" si="16"/>
        <v>-70</v>
      </c>
    </row>
    <row r="145" spans="1:12" x14ac:dyDescent="0.35">
      <c r="A145">
        <f t="shared" si="17"/>
        <v>162</v>
      </c>
      <c r="B145" t="s">
        <v>212</v>
      </c>
      <c r="C145" s="4">
        <f>5+70/454</f>
        <v>5.1541850220264314</v>
      </c>
      <c r="D145" s="4">
        <v>8</v>
      </c>
      <c r="E145" s="4">
        <f t="shared" si="14"/>
        <v>41.233480176211451</v>
      </c>
      <c r="F145" s="5">
        <v>44014</v>
      </c>
      <c r="G145" t="s">
        <v>50</v>
      </c>
      <c r="H145" t="s">
        <v>47</v>
      </c>
      <c r="I145" s="2" t="s">
        <v>64</v>
      </c>
      <c r="J145" t="s">
        <v>16</v>
      </c>
      <c r="K145" s="4">
        <f t="shared" si="15"/>
        <v>2340</v>
      </c>
      <c r="L145">
        <f t="shared" si="16"/>
        <v>0</v>
      </c>
    </row>
    <row r="146" spans="1:12" x14ac:dyDescent="0.35">
      <c r="A146">
        <f t="shared" si="17"/>
        <v>163</v>
      </c>
      <c r="B146" t="s">
        <v>213</v>
      </c>
      <c r="C146" s="4">
        <v>5</v>
      </c>
      <c r="D146" s="4">
        <v>8</v>
      </c>
      <c r="E146" s="4">
        <f t="shared" si="14"/>
        <v>40</v>
      </c>
      <c r="F146" s="5">
        <v>44014</v>
      </c>
      <c r="G146" t="s">
        <v>50</v>
      </c>
      <c r="H146" t="s">
        <v>47</v>
      </c>
      <c r="I146" s="2" t="s">
        <v>19</v>
      </c>
      <c r="J146" t="s">
        <v>16</v>
      </c>
      <c r="K146" s="4">
        <f t="shared" si="15"/>
        <v>2270</v>
      </c>
      <c r="L146">
        <f t="shared" si="16"/>
        <v>-185</v>
      </c>
    </row>
    <row r="147" spans="1:12" x14ac:dyDescent="0.35">
      <c r="A147">
        <f t="shared" si="17"/>
        <v>164</v>
      </c>
      <c r="B147" t="s">
        <v>214</v>
      </c>
      <c r="C147" s="4">
        <v>5</v>
      </c>
      <c r="D147" s="4">
        <v>5.5</v>
      </c>
      <c r="E147" s="4">
        <f t="shared" si="14"/>
        <v>27.5</v>
      </c>
      <c r="F147" s="5">
        <v>44104</v>
      </c>
      <c r="G147" t="s">
        <v>180</v>
      </c>
      <c r="H147" t="s">
        <v>84</v>
      </c>
      <c r="I147" t="s">
        <v>84</v>
      </c>
      <c r="J147" t="s">
        <v>16</v>
      </c>
      <c r="K147" s="4">
        <f t="shared" si="15"/>
        <v>2270</v>
      </c>
      <c r="L147">
        <f t="shared" si="16"/>
        <v>1410</v>
      </c>
    </row>
    <row r="148" spans="1:12" x14ac:dyDescent="0.35">
      <c r="A148">
        <f t="shared" si="17"/>
        <v>165</v>
      </c>
      <c r="B148" s="2" t="s">
        <v>215</v>
      </c>
      <c r="C148" s="4">
        <v>5</v>
      </c>
      <c r="D148" s="4">
        <v>6.6</v>
      </c>
      <c r="E148" s="4">
        <f t="shared" si="14"/>
        <v>33</v>
      </c>
      <c r="F148" s="5">
        <v>44104</v>
      </c>
      <c r="G148" t="s">
        <v>180</v>
      </c>
      <c r="H148" t="s">
        <v>22</v>
      </c>
      <c r="I148" t="s">
        <v>25</v>
      </c>
      <c r="J148" t="s">
        <v>16</v>
      </c>
      <c r="K148" s="4">
        <f>190+454*C148</f>
        <v>2460</v>
      </c>
      <c r="L148">
        <f t="shared" si="16"/>
        <v>0</v>
      </c>
    </row>
    <row r="149" spans="1:12" x14ac:dyDescent="0.35">
      <c r="A149">
        <f t="shared" si="17"/>
        <v>166</v>
      </c>
      <c r="B149" s="2" t="s">
        <v>216</v>
      </c>
      <c r="C149" s="4">
        <v>6</v>
      </c>
      <c r="D149" s="4">
        <v>12</v>
      </c>
      <c r="E149" s="4">
        <f t="shared" si="14"/>
        <v>72</v>
      </c>
      <c r="F149" s="5">
        <v>44105</v>
      </c>
      <c r="G149" t="s">
        <v>50</v>
      </c>
      <c r="H149" t="s">
        <v>47</v>
      </c>
      <c r="I149" t="s">
        <v>51</v>
      </c>
      <c r="J149" t="s">
        <v>16</v>
      </c>
      <c r="K149" s="4">
        <f t="shared" si="15"/>
        <v>2724</v>
      </c>
      <c r="L149">
        <f t="shared" si="16"/>
        <v>399</v>
      </c>
    </row>
    <row r="150" spans="1:12" x14ac:dyDescent="0.35">
      <c r="A150">
        <f t="shared" si="17"/>
        <v>167</v>
      </c>
      <c r="B150" s="2" t="s">
        <v>217</v>
      </c>
      <c r="C150" s="4">
        <v>6</v>
      </c>
      <c r="D150" s="4">
        <v>7.5</v>
      </c>
      <c r="E150" s="4">
        <f t="shared" si="14"/>
        <v>45</v>
      </c>
      <c r="F150" s="5">
        <v>44105</v>
      </c>
      <c r="G150" t="s">
        <v>50</v>
      </c>
      <c r="H150" t="s">
        <v>22</v>
      </c>
      <c r="I150" t="s">
        <v>154</v>
      </c>
      <c r="J150" t="s">
        <v>16</v>
      </c>
      <c r="K150" s="4">
        <f t="shared" si="15"/>
        <v>2724</v>
      </c>
      <c r="L150">
        <f t="shared" si="16"/>
        <v>359</v>
      </c>
    </row>
    <row r="151" spans="1:12" x14ac:dyDescent="0.35">
      <c r="A151">
        <f t="shared" si="17"/>
        <v>168</v>
      </c>
      <c r="B151" s="2" t="s">
        <v>218</v>
      </c>
      <c r="C151" s="4">
        <v>6</v>
      </c>
      <c r="D151" s="4">
        <v>9</v>
      </c>
      <c r="E151" s="4">
        <f t="shared" si="14"/>
        <v>54</v>
      </c>
      <c r="F151" s="5">
        <v>44470</v>
      </c>
      <c r="G151" t="s">
        <v>50</v>
      </c>
      <c r="H151" t="s">
        <v>22</v>
      </c>
      <c r="I151" t="s">
        <v>154</v>
      </c>
      <c r="J151" t="s">
        <v>16</v>
      </c>
      <c r="K151" s="4">
        <f t="shared" si="15"/>
        <v>2724</v>
      </c>
      <c r="L151">
        <f t="shared" si="16"/>
        <v>809</v>
      </c>
    </row>
    <row r="152" spans="1:12" x14ac:dyDescent="0.35">
      <c r="A152">
        <f t="shared" si="17"/>
        <v>169</v>
      </c>
      <c r="B152" s="2" t="s">
        <v>219</v>
      </c>
      <c r="C152" s="4">
        <v>10</v>
      </c>
      <c r="D152" s="4">
        <v>9</v>
      </c>
      <c r="E152" s="4">
        <f>D152*C152</f>
        <v>90</v>
      </c>
      <c r="F152" s="5">
        <v>43742</v>
      </c>
      <c r="G152" t="s">
        <v>27</v>
      </c>
      <c r="H152" t="s">
        <v>161</v>
      </c>
      <c r="I152" t="s">
        <v>43</v>
      </c>
      <c r="J152" t="s">
        <v>16</v>
      </c>
      <c r="K152" s="4">
        <f>454*C152</f>
        <v>4540</v>
      </c>
      <c r="L152">
        <f>HLOOKUP(A152,$N$1:$HZ$2,2)</f>
        <v>1745</v>
      </c>
    </row>
    <row r="153" spans="1:12" x14ac:dyDescent="0.35">
      <c r="A153">
        <f t="shared" si="17"/>
        <v>170</v>
      </c>
      <c r="B153" s="2" t="s">
        <v>220</v>
      </c>
      <c r="C153" s="4">
        <v>5</v>
      </c>
      <c r="D153" s="4">
        <v>7</v>
      </c>
      <c r="E153" s="4">
        <f t="shared" ref="E153:E163" si="18">D153*C153</f>
        <v>35</v>
      </c>
      <c r="F153" s="5">
        <v>43967</v>
      </c>
      <c r="G153" t="s">
        <v>27</v>
      </c>
      <c r="H153" t="s">
        <v>47</v>
      </c>
      <c r="I153" s="2" t="s">
        <v>19</v>
      </c>
      <c r="J153" t="s">
        <v>16</v>
      </c>
      <c r="K153" s="4">
        <f t="shared" ref="K153:K163" si="19">454*C153</f>
        <v>2270</v>
      </c>
      <c r="L153">
        <f t="shared" ref="L153:L163" si="20">HLOOKUP(A153,$N$1:$HZ$2,2)</f>
        <v>190</v>
      </c>
    </row>
    <row r="154" spans="1:12" x14ac:dyDescent="0.35">
      <c r="A154">
        <f t="shared" si="17"/>
        <v>171</v>
      </c>
      <c r="B154" s="2" t="s">
        <v>221</v>
      </c>
      <c r="C154" s="4">
        <v>5</v>
      </c>
      <c r="D154" s="4">
        <v>7</v>
      </c>
      <c r="E154" s="4">
        <f t="shared" si="18"/>
        <v>35</v>
      </c>
      <c r="F154" s="5">
        <v>43967</v>
      </c>
      <c r="G154" t="s">
        <v>27</v>
      </c>
      <c r="H154" t="s">
        <v>22</v>
      </c>
      <c r="I154" t="s">
        <v>25</v>
      </c>
      <c r="J154" t="s">
        <v>16</v>
      </c>
      <c r="K154" s="4">
        <f t="shared" si="19"/>
        <v>2270</v>
      </c>
      <c r="L154">
        <f t="shared" si="20"/>
        <v>670</v>
      </c>
    </row>
    <row r="155" spans="1:12" x14ac:dyDescent="0.35">
      <c r="A155">
        <f t="shared" si="17"/>
        <v>172</v>
      </c>
      <c r="B155" s="2" t="s">
        <v>222</v>
      </c>
      <c r="C155" s="4">
        <v>5</v>
      </c>
      <c r="D155" s="4">
        <v>7.5</v>
      </c>
      <c r="E155" s="4">
        <f t="shared" si="18"/>
        <v>37.5</v>
      </c>
      <c r="F155" s="5">
        <v>45010</v>
      </c>
      <c r="G155" t="s">
        <v>27</v>
      </c>
      <c r="H155" t="s">
        <v>22</v>
      </c>
      <c r="I155" t="s">
        <v>25</v>
      </c>
      <c r="J155" t="s">
        <v>16</v>
      </c>
      <c r="K155" s="4">
        <f t="shared" si="19"/>
        <v>2270</v>
      </c>
      <c r="L155">
        <f t="shared" si="20"/>
        <v>1410</v>
      </c>
    </row>
    <row r="156" spans="1:12" x14ac:dyDescent="0.35">
      <c r="A156">
        <f t="shared" si="17"/>
        <v>173</v>
      </c>
      <c r="B156" s="2" t="s">
        <v>223</v>
      </c>
      <c r="C156" s="4">
        <v>10</v>
      </c>
      <c r="D156" s="4">
        <v>7.5</v>
      </c>
      <c r="E156" s="4">
        <f t="shared" si="18"/>
        <v>75</v>
      </c>
      <c r="F156" s="5">
        <v>45010</v>
      </c>
      <c r="G156" t="s">
        <v>27</v>
      </c>
      <c r="H156" t="s">
        <v>47</v>
      </c>
      <c r="I156" t="s">
        <v>48</v>
      </c>
      <c r="J156" t="s">
        <v>16</v>
      </c>
      <c r="K156" s="4">
        <f t="shared" si="19"/>
        <v>4540</v>
      </c>
      <c r="L156">
        <f t="shared" si="20"/>
        <v>1560</v>
      </c>
    </row>
    <row r="157" spans="1:12" x14ac:dyDescent="0.35">
      <c r="A157">
        <f t="shared" si="17"/>
        <v>174</v>
      </c>
      <c r="B157" s="2" t="s">
        <v>224</v>
      </c>
      <c r="C157" s="4">
        <v>10</v>
      </c>
      <c r="D157" s="4">
        <v>7.5</v>
      </c>
      <c r="E157" s="4">
        <f t="shared" si="18"/>
        <v>75</v>
      </c>
      <c r="F157" s="5">
        <v>45010</v>
      </c>
      <c r="G157" t="s">
        <v>27</v>
      </c>
      <c r="H157" t="s">
        <v>22</v>
      </c>
      <c r="I157" t="s">
        <v>25</v>
      </c>
      <c r="J157" t="s">
        <v>16</v>
      </c>
      <c r="K157" s="4">
        <f t="shared" si="19"/>
        <v>4540</v>
      </c>
      <c r="L157">
        <f t="shared" si="20"/>
        <v>1540</v>
      </c>
    </row>
    <row r="158" spans="1:12" x14ac:dyDescent="0.35">
      <c r="A158">
        <f t="shared" si="17"/>
        <v>175</v>
      </c>
      <c r="B158" s="2" t="s">
        <v>225</v>
      </c>
      <c r="C158" s="4">
        <v>5</v>
      </c>
      <c r="D158" s="4">
        <v>8</v>
      </c>
      <c r="E158" s="4">
        <f t="shared" si="18"/>
        <v>40</v>
      </c>
      <c r="F158" s="5">
        <v>45040</v>
      </c>
      <c r="G158" s="2" t="s">
        <v>226</v>
      </c>
      <c r="H158" t="s">
        <v>47</v>
      </c>
      <c r="I158" s="2" t="s">
        <v>19</v>
      </c>
      <c r="J158" t="s">
        <v>16</v>
      </c>
      <c r="K158" s="4">
        <f t="shared" si="19"/>
        <v>2270</v>
      </c>
      <c r="L158">
        <f t="shared" si="20"/>
        <v>1625</v>
      </c>
    </row>
    <row r="159" spans="1:12" x14ac:dyDescent="0.35">
      <c r="A159">
        <f t="shared" si="17"/>
        <v>176</v>
      </c>
      <c r="B159" s="2" t="s">
        <v>227</v>
      </c>
      <c r="C159" s="4">
        <v>5</v>
      </c>
      <c r="D159" s="4">
        <v>7.3</v>
      </c>
      <c r="E159" s="4">
        <f t="shared" si="18"/>
        <v>36.5</v>
      </c>
      <c r="F159" s="5">
        <v>45113</v>
      </c>
      <c r="G159" s="2" t="s">
        <v>228</v>
      </c>
      <c r="H159" t="s">
        <v>22</v>
      </c>
      <c r="I159" t="s">
        <v>71</v>
      </c>
      <c r="J159" t="s">
        <v>16</v>
      </c>
      <c r="K159" s="4">
        <f t="shared" si="19"/>
        <v>2270</v>
      </c>
      <c r="L159">
        <f t="shared" si="20"/>
        <v>1685</v>
      </c>
    </row>
    <row r="160" spans="1:12" x14ac:dyDescent="0.35">
      <c r="A160">
        <f t="shared" si="17"/>
        <v>177</v>
      </c>
      <c r="B160" s="2" t="s">
        <v>229</v>
      </c>
      <c r="C160" s="4">
        <v>5</v>
      </c>
      <c r="D160" s="4">
        <v>6.9</v>
      </c>
      <c r="E160" s="4">
        <f t="shared" si="18"/>
        <v>34.5</v>
      </c>
      <c r="F160" s="5">
        <v>45113</v>
      </c>
      <c r="G160" s="2" t="s">
        <v>228</v>
      </c>
      <c r="H160" t="s">
        <v>47</v>
      </c>
      <c r="I160" t="s">
        <v>48</v>
      </c>
      <c r="J160" t="s">
        <v>16</v>
      </c>
      <c r="K160" s="4">
        <f t="shared" si="19"/>
        <v>2270</v>
      </c>
      <c r="L160">
        <f t="shared" si="20"/>
        <v>1490</v>
      </c>
    </row>
    <row r="161" spans="1:12" x14ac:dyDescent="0.35">
      <c r="A161">
        <f t="shared" si="17"/>
        <v>178</v>
      </c>
      <c r="B161" s="2" t="s">
        <v>230</v>
      </c>
      <c r="C161" s="4">
        <v>5</v>
      </c>
      <c r="D161" s="4">
        <v>11.5</v>
      </c>
      <c r="E161" s="4">
        <f t="shared" si="18"/>
        <v>57.5</v>
      </c>
      <c r="F161" s="5">
        <v>45113</v>
      </c>
      <c r="G161" s="2" t="s">
        <v>228</v>
      </c>
      <c r="H161" t="s">
        <v>22</v>
      </c>
      <c r="I161" t="s">
        <v>25</v>
      </c>
      <c r="J161" t="s">
        <v>16</v>
      </c>
      <c r="K161" s="4">
        <f t="shared" si="19"/>
        <v>2270</v>
      </c>
      <c r="L161">
        <f t="shared" si="20"/>
        <v>1195</v>
      </c>
    </row>
    <row r="162" spans="1:12" x14ac:dyDescent="0.35">
      <c r="B162" s="2"/>
      <c r="C162" s="4"/>
      <c r="D162" s="4"/>
      <c r="E162" s="4"/>
      <c r="F162" s="5"/>
      <c r="G162" s="2"/>
      <c r="K162" s="4"/>
    </row>
    <row r="163" spans="1:12" x14ac:dyDescent="0.35">
      <c r="B163" s="2"/>
      <c r="C163" s="4"/>
      <c r="D163" s="4"/>
      <c r="E163" s="4"/>
      <c r="F163" s="5"/>
      <c r="G163" s="2"/>
      <c r="K163" s="4"/>
    </row>
    <row r="164" spans="1:12" x14ac:dyDescent="0.35">
      <c r="B164" s="2"/>
      <c r="C164" s="4"/>
      <c r="D164" s="4"/>
      <c r="E164" s="4"/>
      <c r="F164" s="5"/>
      <c r="G164" s="2"/>
      <c r="K164" s="4"/>
    </row>
    <row r="165" spans="1:12" x14ac:dyDescent="0.35">
      <c r="B165" s="2"/>
      <c r="C165" s="4"/>
      <c r="D165" s="4"/>
      <c r="E165" s="4"/>
      <c r="F165" s="5"/>
      <c r="G165" s="2"/>
      <c r="K165" s="4"/>
    </row>
    <row r="166" spans="1:12" x14ac:dyDescent="0.35">
      <c r="B166" s="2"/>
      <c r="C166" s="4"/>
      <c r="D166" s="4"/>
      <c r="E166" s="4"/>
      <c r="F166" s="5"/>
      <c r="G166" s="2"/>
      <c r="K166" s="4"/>
    </row>
    <row r="167" spans="1:12" x14ac:dyDescent="0.35">
      <c r="B167" s="6"/>
      <c r="C167" s="4"/>
      <c r="D167" s="4"/>
      <c r="E167" s="4"/>
      <c r="F167" s="5"/>
      <c r="G167" s="2"/>
      <c r="I167" s="2"/>
      <c r="K167" s="4"/>
    </row>
    <row r="168" spans="1:12" x14ac:dyDescent="0.35">
      <c r="B168" s="6"/>
      <c r="C168" s="4"/>
      <c r="D168" s="4"/>
      <c r="E168" s="4"/>
      <c r="F168" s="5"/>
      <c r="G168" s="2"/>
      <c r="I168" s="2"/>
      <c r="K168" s="4"/>
    </row>
    <row r="169" spans="1:12" x14ac:dyDescent="0.35">
      <c r="B169" s="6"/>
      <c r="C169" s="4"/>
      <c r="D169" s="4"/>
      <c r="E169" s="4"/>
      <c r="F169" s="5"/>
      <c r="G169" s="2"/>
      <c r="I169" s="2"/>
      <c r="K169" s="4"/>
    </row>
    <row r="170" spans="1:12" x14ac:dyDescent="0.35">
      <c r="B170" s="6"/>
      <c r="C170" s="4"/>
      <c r="D170" s="4"/>
      <c r="E170" s="4"/>
      <c r="F170" s="5"/>
      <c r="G170" s="2"/>
      <c r="I170" s="2"/>
      <c r="K170" s="4"/>
    </row>
    <row r="171" spans="1:12" x14ac:dyDescent="0.35">
      <c r="B171" s="6"/>
      <c r="C171" s="4"/>
      <c r="D171" s="4"/>
      <c r="E171" s="4"/>
      <c r="F171" s="5"/>
      <c r="G171" s="2"/>
      <c r="I171" s="2"/>
      <c r="K171" s="4"/>
    </row>
    <row r="172" spans="1:12" x14ac:dyDescent="0.35">
      <c r="B172" s="6"/>
      <c r="C172" s="4"/>
      <c r="D172" s="4"/>
      <c r="E172" s="4"/>
      <c r="F172" s="5"/>
      <c r="G172" s="2"/>
      <c r="I172" s="2"/>
      <c r="K172" s="4"/>
    </row>
    <row r="173" spans="1:12" x14ac:dyDescent="0.35">
      <c r="B173" s="6"/>
      <c r="C173" s="4"/>
      <c r="D173" s="4"/>
      <c r="E173" s="4"/>
      <c r="F173" s="5"/>
      <c r="G173" s="2"/>
      <c r="I173" s="2"/>
      <c r="K173" s="4"/>
    </row>
    <row r="174" spans="1:12" x14ac:dyDescent="0.35">
      <c r="B174" s="6"/>
      <c r="C174" s="4"/>
      <c r="D174" s="4"/>
      <c r="E174" s="4"/>
      <c r="F174" s="5"/>
      <c r="G174" s="2"/>
      <c r="I174" s="2"/>
      <c r="K174" s="4"/>
    </row>
    <row r="175" spans="1:12" x14ac:dyDescent="0.35">
      <c r="C175" s="4"/>
      <c r="D175" s="4"/>
      <c r="E175" s="4"/>
      <c r="F175" s="5"/>
      <c r="K175" s="4"/>
    </row>
    <row r="176" spans="1:12" x14ac:dyDescent="0.35">
      <c r="C176" s="4"/>
      <c r="D176" s="4"/>
      <c r="E176" s="4"/>
      <c r="F176" s="5"/>
      <c r="K176" s="4"/>
    </row>
    <row r="177" spans="7:10" x14ac:dyDescent="0.35">
      <c r="G177">
        <f>L91/4</f>
        <v>0</v>
      </c>
      <c r="H177">
        <v>454</v>
      </c>
      <c r="I177">
        <v>215</v>
      </c>
      <c r="J177" t="s">
        <v>231</v>
      </c>
    </row>
    <row r="178" spans="7:10" x14ac:dyDescent="0.35">
      <c r="G178">
        <v>5</v>
      </c>
      <c r="H178">
        <v>4</v>
      </c>
      <c r="I178">
        <v>3</v>
      </c>
      <c r="J178">
        <v>2</v>
      </c>
    </row>
    <row r="179" spans="7:10" x14ac:dyDescent="0.35">
      <c r="G179">
        <f>G178*$H177</f>
        <v>2270</v>
      </c>
      <c r="H179">
        <f t="shared" ref="H179:J179" si="21">H178*$H177</f>
        <v>1816</v>
      </c>
      <c r="I179">
        <f t="shared" si="21"/>
        <v>1362</v>
      </c>
      <c r="J179">
        <f t="shared" si="21"/>
        <v>908</v>
      </c>
    </row>
    <row r="180" spans="7:10" x14ac:dyDescent="0.35">
      <c r="G180" s="7">
        <f>G179/$I$177</f>
        <v>10.55813953488372</v>
      </c>
      <c r="H180" s="7">
        <f t="shared" ref="H180:J180" si="22">H179/$I$177</f>
        <v>8.4465116279069772</v>
      </c>
      <c r="I180" s="7">
        <f t="shared" si="22"/>
        <v>6.3348837209302324</v>
      </c>
      <c r="J180" s="7">
        <f t="shared" si="22"/>
        <v>4.2232558139534886</v>
      </c>
    </row>
    <row r="181" spans="7:10" x14ac:dyDescent="0.35">
      <c r="G181" s="7"/>
      <c r="H181" s="7"/>
      <c r="I181" s="7"/>
      <c r="J181" s="7"/>
    </row>
    <row r="182" spans="7:10" x14ac:dyDescent="0.35">
      <c r="G182" s="7">
        <f>INT(G180)</f>
        <v>10</v>
      </c>
      <c r="H182" s="7">
        <f t="shared" ref="H182:J182" si="23">INT(H180)</f>
        <v>8</v>
      </c>
      <c r="I182" s="7">
        <f t="shared" si="23"/>
        <v>6</v>
      </c>
      <c r="J182" s="7">
        <f t="shared" si="23"/>
        <v>4</v>
      </c>
    </row>
    <row r="183" spans="7:10" x14ac:dyDescent="0.35">
      <c r="G183" s="7">
        <f>G180-G182</f>
        <v>0.55813953488372015</v>
      </c>
      <c r="H183" s="7">
        <f t="shared" ref="H183:J183" si="24">H180-H182</f>
        <v>0.44651162790697718</v>
      </c>
      <c r="I183" s="7">
        <f t="shared" si="24"/>
        <v>0.33488372093023244</v>
      </c>
      <c r="J183" s="7">
        <f t="shared" si="24"/>
        <v>0.22325581395348859</v>
      </c>
    </row>
    <row r="184" spans="7:10" x14ac:dyDescent="0.35">
      <c r="G184">
        <f>G183*$I$177</f>
        <v>119.99999999999983</v>
      </c>
      <c r="H184">
        <f t="shared" ref="H184:J184" si="25">H183*$I$177</f>
        <v>96.000000000000099</v>
      </c>
      <c r="I184">
        <f t="shared" si="25"/>
        <v>71.999999999999972</v>
      </c>
      <c r="J184">
        <f t="shared" si="25"/>
        <v>48.00000000000005</v>
      </c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Lookup Tables</vt:lpstr>
      <vt:lpstr>Roast Logs</vt:lpstr>
      <vt:lpstr>Inventory</vt:lpstr>
      <vt:lpstr>'Roast Logs'!Print_Area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Gee</dc:creator>
  <cp:lastModifiedBy>Rick Gee</cp:lastModifiedBy>
  <dcterms:created xsi:type="dcterms:W3CDTF">2024-02-09T15:02:04Z</dcterms:created>
  <dcterms:modified xsi:type="dcterms:W3CDTF">2024-02-09T16:57:37Z</dcterms:modified>
</cp:coreProperties>
</file>